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2995" windowHeight="10305"/>
  </bookViews>
  <sheets>
    <sheet name="Design tool" sheetId="1" r:id="rId1"/>
    <sheet name="Typ Max load Thermal results" sheetId="3" r:id="rId2"/>
    <sheet name="Minimum input voltage" sheetId="4" r:id="rId3"/>
  </sheets>
  <externalReferences>
    <externalReference r:id="rId4"/>
    <externalReference r:id="rId5"/>
  </externalReferences>
  <definedNames>
    <definedName name="Cesr">'Design tool'!$T$14</definedName>
    <definedName name="com_c1">'Design tool'!$W$18</definedName>
    <definedName name="comp_C1">'Design tool'!$T$24</definedName>
    <definedName name="comp_C2">'Design tool'!$T$25</definedName>
    <definedName name="comp_R2">'Design tool'!$B$8</definedName>
    <definedName name="Cout">'Design tool'!$T$13</definedName>
    <definedName name="D">'Design tool'!$S$18</definedName>
    <definedName name="D_">'Design tool'!$T$1</definedName>
    <definedName name="Dmax">'Design tool'!$T$11</definedName>
    <definedName name="Enter_Values">'Design tool'!$B$2:$B$13</definedName>
    <definedName name="Fsw" localSheetId="1">#REF!</definedName>
    <definedName name="Fsw">'Design tool'!$S$9</definedName>
    <definedName name="FswMax">'Typ Max load Thermal results'!$E$20</definedName>
    <definedName name="FswNom">'Typ Max load Thermal results'!$H$9</definedName>
    <definedName name="gm">'Design tool'!$T$19</definedName>
    <definedName name="ILIM">#REF!</definedName>
    <definedName name="ILIM8902">#REF!</definedName>
    <definedName name="Ind">#REF!</definedName>
    <definedName name="Iout">'Typ Max load Thermal results'!$H$6</definedName>
    <definedName name="Iq">'Typ Max load Thermal results'!$H$17</definedName>
    <definedName name="L">'Design tool'!$T$29</definedName>
    <definedName name="LDOLoad">'Typ Max load Thermal results'!$H$16</definedName>
    <definedName name="LoadRef">'Typ Max load Thermal results'!$H$7</definedName>
    <definedName name="mc">'Design tool'!$T$8</definedName>
    <definedName name="OutCur">'Typ Max load Thermal results'!$H$6</definedName>
    <definedName name="R0">'Design tool'!$T$17</definedName>
    <definedName name="Rdson">#REF!</definedName>
    <definedName name="Rdson1p2A">'Typ Max load Thermal results'!$H$13</definedName>
    <definedName name="Rout">'Design tool'!$T$9</definedName>
    <definedName name="Rout_">'Design tool'!$S$24</definedName>
    <definedName name="Rthetaja">'Typ Max load Thermal results'!$H$14</definedName>
    <definedName name="SC">#REF!</definedName>
    <definedName name="SCstart">#REF!</definedName>
    <definedName name="sssss">'Design tool'!$U$9</definedName>
    <definedName name="SWscaling">'Typ Max load Thermal results'!$O$14</definedName>
    <definedName name="SWscaling3">'Typ Max load Thermal results'!$Q$14</definedName>
    <definedName name="t1ref">'Typ Max load Thermal results'!$E$24</definedName>
    <definedName name="t2ref">'Typ Max load Thermal results'!$E$25</definedName>
    <definedName name="t3ref">'Typ Max load Thermal results'!$E$26</definedName>
    <definedName name="t4ref">'Typ Max load Thermal results'!$E$27</definedName>
    <definedName name="Tsw_">'Design tool'!$T$3</definedName>
    <definedName name="UseLDO">'Typ Max load Thermal results'!$J$16</definedName>
    <definedName name="Vd">#REF!</definedName>
    <definedName name="Vdiode">'Typ Max load Thermal results'!$H$11</definedName>
    <definedName name="Vin">#REF!</definedName>
    <definedName name="VinILIM">#REF!</definedName>
    <definedName name="VinILIM13">#REF!</definedName>
    <definedName name="VinILIM16">#REF!</definedName>
    <definedName name="Vinref">'Typ Max load Thermal results'!$E$19</definedName>
    <definedName name="Vout">'Typ Max load Thermal results'!$H$5</definedName>
    <definedName name="Vout_">'Design tool'!$T$30</definedName>
    <definedName name="Vout33">#REF!</definedName>
    <definedName name="Vout3p3">'Typ Max load Thermal results'!#REF!</definedName>
    <definedName name="Vout5p0">'Typ Max load Thermal results'!#REF!</definedName>
    <definedName name="wp1e">'Design tool'!$T$22</definedName>
    <definedName name="wp2e">'Design tool'!$T$23</definedName>
    <definedName name="wz2e">'Design tool'!$T$21</definedName>
  </definedNames>
  <calcPr calcId="145621"/>
</workbook>
</file>

<file path=xl/calcChain.xml><?xml version="1.0" encoding="utf-8"?>
<calcChain xmlns="http://schemas.openxmlformats.org/spreadsheetml/2006/main">
  <c r="E3" i="4" l="1"/>
  <c r="E4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J46" i="3"/>
  <c r="I46" i="3"/>
  <c r="H46" i="3"/>
  <c r="G46" i="3"/>
  <c r="F46" i="3"/>
  <c r="E46" i="3"/>
  <c r="J39" i="3"/>
  <c r="I39" i="3"/>
  <c r="H39" i="3"/>
  <c r="G39" i="3"/>
  <c r="F39" i="3"/>
  <c r="E39" i="3"/>
  <c r="J34" i="3"/>
  <c r="I34" i="3"/>
  <c r="H34" i="3"/>
  <c r="G34" i="3"/>
  <c r="F34" i="3"/>
  <c r="E34" i="3"/>
  <c r="J27" i="3"/>
  <c r="I27" i="3"/>
  <c r="H27" i="3"/>
  <c r="G27" i="3"/>
  <c r="F27" i="3"/>
  <c r="J26" i="3"/>
  <c r="I26" i="3"/>
  <c r="H26" i="3"/>
  <c r="G26" i="3"/>
  <c r="F26" i="3"/>
  <c r="J25" i="3"/>
  <c r="I25" i="3"/>
  <c r="H25" i="3"/>
  <c r="G25" i="3"/>
  <c r="F25" i="3"/>
  <c r="J24" i="3"/>
  <c r="I24" i="3"/>
  <c r="H24" i="3"/>
  <c r="G24" i="3"/>
  <c r="F24" i="3"/>
  <c r="J22" i="3"/>
  <c r="I22" i="3"/>
  <c r="H22" i="3"/>
  <c r="G22" i="3"/>
  <c r="F22" i="3"/>
  <c r="E22" i="3"/>
  <c r="J20" i="3"/>
  <c r="J31" i="3" s="1"/>
  <c r="I20" i="3"/>
  <c r="I31" i="3" s="1"/>
  <c r="H20" i="3"/>
  <c r="H37" i="3" s="1"/>
  <c r="G20" i="3"/>
  <c r="G37" i="3" s="1"/>
  <c r="F20" i="3"/>
  <c r="E20" i="3"/>
  <c r="E31" i="3" s="1"/>
  <c r="F31" i="3" l="1"/>
  <c r="G29" i="3"/>
  <c r="E30" i="3"/>
  <c r="I30" i="3"/>
  <c r="G31" i="3"/>
  <c r="E32" i="3"/>
  <c r="I32" i="3"/>
  <c r="E37" i="3"/>
  <c r="I37" i="3"/>
  <c r="H29" i="3"/>
  <c r="F30" i="3"/>
  <c r="J30" i="3"/>
  <c r="H31" i="3"/>
  <c r="F32" i="3"/>
  <c r="J32" i="3"/>
  <c r="F37" i="3"/>
  <c r="J37" i="3"/>
  <c r="E29" i="3"/>
  <c r="I29" i="3"/>
  <c r="G30" i="3"/>
  <c r="G32" i="3"/>
  <c r="F29" i="3"/>
  <c r="J29" i="3"/>
  <c r="H30" i="3"/>
  <c r="H32" i="3"/>
  <c r="B4" i="1"/>
  <c r="I33" i="3" l="1"/>
  <c r="I35" i="3" s="1"/>
  <c r="I41" i="3" s="1"/>
  <c r="I43" i="3" s="1"/>
  <c r="I44" i="3" s="1"/>
  <c r="J33" i="3"/>
  <c r="J35" i="3" s="1"/>
  <c r="J41" i="3" s="1"/>
  <c r="J43" i="3" s="1"/>
  <c r="J44" i="3" s="1"/>
  <c r="F33" i="3"/>
  <c r="F35" i="3" s="1"/>
  <c r="F41" i="3" s="1"/>
  <c r="F43" i="3" s="1"/>
  <c r="F44" i="3" s="1"/>
  <c r="E33" i="3"/>
  <c r="E35" i="3" s="1"/>
  <c r="E41" i="3" s="1"/>
  <c r="E43" i="3" s="1"/>
  <c r="E44" i="3" s="1"/>
  <c r="H33" i="3"/>
  <c r="H35" i="3" s="1"/>
  <c r="H41" i="3" s="1"/>
  <c r="H43" i="3" s="1"/>
  <c r="H44" i="3" s="1"/>
  <c r="G33" i="3"/>
  <c r="G35" i="3" s="1"/>
  <c r="G41" i="3" s="1"/>
  <c r="G43" i="3" s="1"/>
  <c r="G44" i="3" s="1"/>
  <c r="G12" i="1"/>
  <c r="G4" i="1"/>
  <c r="B7" i="1"/>
  <c r="D7" i="1" s="1"/>
  <c r="T19" i="1" l="1"/>
  <c r="T17" i="1"/>
  <c r="T14" i="1"/>
  <c r="T13" i="1"/>
  <c r="T30" i="1"/>
  <c r="T29" i="1"/>
  <c r="Z3" i="1"/>
  <c r="Z4" i="1"/>
  <c r="Z5" i="1"/>
  <c r="Z6" i="1"/>
  <c r="AA6" i="1" s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AA34" i="1" s="1"/>
  <c r="Z35" i="1"/>
  <c r="Z36" i="1"/>
  <c r="AA36" i="1" s="1"/>
  <c r="Z37" i="1"/>
  <c r="Z38" i="1"/>
  <c r="AA38" i="1" s="1"/>
  <c r="Z39" i="1"/>
  <c r="Z40" i="1"/>
  <c r="AA40" i="1" s="1"/>
  <c r="Z41" i="1"/>
  <c r="Z42" i="1"/>
  <c r="AA42" i="1" s="1"/>
  <c r="Z43" i="1"/>
  <c r="Z44" i="1"/>
  <c r="AA44" i="1" s="1"/>
  <c r="Z45" i="1"/>
  <c r="Z46" i="1"/>
  <c r="AA46" i="1" s="1"/>
  <c r="Z47" i="1"/>
  <c r="Z48" i="1"/>
  <c r="AA48" i="1" s="1"/>
  <c r="Z49" i="1"/>
  <c r="Z50" i="1"/>
  <c r="AA50" i="1" s="1"/>
  <c r="Z51" i="1"/>
  <c r="Z52" i="1"/>
  <c r="AA52" i="1" s="1"/>
  <c r="Z53" i="1"/>
  <c r="Z54" i="1"/>
  <c r="AA54" i="1" s="1"/>
  <c r="Z55" i="1"/>
  <c r="Z56" i="1"/>
  <c r="AA56" i="1" s="1"/>
  <c r="Z57" i="1"/>
  <c r="Z58" i="1"/>
  <c r="AA58" i="1" s="1"/>
  <c r="Z59" i="1"/>
  <c r="Z60" i="1"/>
  <c r="AA60" i="1" s="1"/>
  <c r="Z61" i="1"/>
  <c r="Z62" i="1"/>
  <c r="AA62" i="1" s="1"/>
  <c r="Z63" i="1"/>
  <c r="Z64" i="1"/>
  <c r="AA64" i="1" s="1"/>
  <c r="Z65" i="1"/>
  <c r="Z66" i="1"/>
  <c r="AA66" i="1" s="1"/>
  <c r="Z67" i="1"/>
  <c r="Z68" i="1"/>
  <c r="AA68" i="1" s="1"/>
  <c r="Z69" i="1"/>
  <c r="Z70" i="1"/>
  <c r="AA70" i="1" s="1"/>
  <c r="Z71" i="1"/>
  <c r="Z72" i="1"/>
  <c r="AA72" i="1" s="1"/>
  <c r="Z73" i="1"/>
  <c r="Z74" i="1"/>
  <c r="AA74" i="1" s="1"/>
  <c r="Z75" i="1"/>
  <c r="Z76" i="1"/>
  <c r="AA76" i="1" s="1"/>
  <c r="Z77" i="1"/>
  <c r="Z78" i="1"/>
  <c r="AA78" i="1" s="1"/>
  <c r="Z79" i="1"/>
  <c r="Z80" i="1"/>
  <c r="AA80" i="1" s="1"/>
  <c r="Z81" i="1"/>
  <c r="Z82" i="1"/>
  <c r="AA82" i="1" s="1"/>
  <c r="Z83" i="1"/>
  <c r="Z84" i="1"/>
  <c r="AA84" i="1" s="1"/>
  <c r="Z85" i="1"/>
  <c r="Z86" i="1"/>
  <c r="AA86" i="1" s="1"/>
  <c r="Z87" i="1"/>
  <c r="Z88" i="1"/>
  <c r="AA88" i="1" s="1"/>
  <c r="Z89" i="1"/>
  <c r="Z90" i="1"/>
  <c r="AA90" i="1" s="1"/>
  <c r="Z91" i="1"/>
  <c r="Z92" i="1"/>
  <c r="AA92" i="1" s="1"/>
  <c r="Z93" i="1"/>
  <c r="Z94" i="1"/>
  <c r="AA94" i="1" s="1"/>
  <c r="Z95" i="1"/>
  <c r="Z96" i="1"/>
  <c r="AA96" i="1" s="1"/>
  <c r="Z97" i="1"/>
  <c r="Z98" i="1"/>
  <c r="AA98" i="1" s="1"/>
  <c r="Z99" i="1"/>
  <c r="Z100" i="1"/>
  <c r="AA100" i="1" s="1"/>
  <c r="Z101" i="1"/>
  <c r="Z102" i="1"/>
  <c r="AA102" i="1" s="1"/>
  <c r="Z103" i="1"/>
  <c r="Z104" i="1"/>
  <c r="AA104" i="1" s="1"/>
  <c r="Z105" i="1"/>
  <c r="Z106" i="1"/>
  <c r="AA106" i="1" s="1"/>
  <c r="Z107" i="1"/>
  <c r="Z108" i="1"/>
  <c r="AA108" i="1" s="1"/>
  <c r="Z109" i="1"/>
  <c r="Z110" i="1"/>
  <c r="AA110" i="1" s="1"/>
  <c r="Z111" i="1"/>
  <c r="Z112" i="1"/>
  <c r="AA112" i="1" s="1"/>
  <c r="Z113" i="1"/>
  <c r="Z114" i="1"/>
  <c r="AA114" i="1" s="1"/>
  <c r="Z115" i="1"/>
  <c r="Z116" i="1"/>
  <c r="AA116" i="1" s="1"/>
  <c r="Z117" i="1"/>
  <c r="Z118" i="1"/>
  <c r="AA118" i="1" s="1"/>
  <c r="Z119" i="1"/>
  <c r="Z120" i="1"/>
  <c r="AA120" i="1" s="1"/>
  <c r="Z121" i="1"/>
  <c r="Z122" i="1"/>
  <c r="AA122" i="1" s="1"/>
  <c r="Z123" i="1"/>
  <c r="Z124" i="1"/>
  <c r="AA124" i="1" s="1"/>
  <c r="Z125" i="1"/>
  <c r="Z126" i="1"/>
  <c r="AA126" i="1" s="1"/>
  <c r="Z127" i="1"/>
  <c r="Z128" i="1"/>
  <c r="AA128" i="1" s="1"/>
  <c r="Z129" i="1"/>
  <c r="Z130" i="1"/>
  <c r="AA130" i="1" s="1"/>
  <c r="Z131" i="1"/>
  <c r="Z132" i="1"/>
  <c r="AA132" i="1" s="1"/>
  <c r="Z133" i="1"/>
  <c r="Z134" i="1"/>
  <c r="AA134" i="1" s="1"/>
  <c r="Z135" i="1"/>
  <c r="Z136" i="1"/>
  <c r="AA136" i="1" s="1"/>
  <c r="Z137" i="1"/>
  <c r="Z138" i="1"/>
  <c r="AA138" i="1" s="1"/>
  <c r="Z139" i="1"/>
  <c r="Z140" i="1"/>
  <c r="AA140" i="1" s="1"/>
  <c r="Z141" i="1"/>
  <c r="Z142" i="1"/>
  <c r="AA142" i="1" s="1"/>
  <c r="Z143" i="1"/>
  <c r="Z144" i="1"/>
  <c r="AA144" i="1" s="1"/>
  <c r="Z145" i="1"/>
  <c r="Z146" i="1"/>
  <c r="AA146" i="1" s="1"/>
  <c r="Z147" i="1"/>
  <c r="Z148" i="1"/>
  <c r="AA148" i="1" s="1"/>
  <c r="Z149" i="1"/>
  <c r="Z150" i="1"/>
  <c r="AA150" i="1" s="1"/>
  <c r="Z151" i="1"/>
  <c r="Z152" i="1"/>
  <c r="AA152" i="1" s="1"/>
  <c r="Z153" i="1"/>
  <c r="Z154" i="1"/>
  <c r="AA154" i="1" s="1"/>
  <c r="Z155" i="1"/>
  <c r="Z156" i="1"/>
  <c r="AA156" i="1" s="1"/>
  <c r="Z157" i="1"/>
  <c r="Z158" i="1"/>
  <c r="AA158" i="1" s="1"/>
  <c r="Z159" i="1"/>
  <c r="Z160" i="1"/>
  <c r="AA160" i="1" s="1"/>
  <c r="Z161" i="1"/>
  <c r="Z162" i="1"/>
  <c r="AA162" i="1" s="1"/>
  <c r="Z163" i="1"/>
  <c r="Z164" i="1"/>
  <c r="AA164" i="1" s="1"/>
  <c r="Z165" i="1"/>
  <c r="Z166" i="1"/>
  <c r="AA166" i="1" s="1"/>
  <c r="Z167" i="1"/>
  <c r="Z168" i="1"/>
  <c r="AA168" i="1" s="1"/>
  <c r="Z169" i="1"/>
  <c r="Z170" i="1"/>
  <c r="AA170" i="1" s="1"/>
  <c r="Z171" i="1"/>
  <c r="Z172" i="1"/>
  <c r="AA172" i="1" s="1"/>
  <c r="Z173" i="1"/>
  <c r="Z174" i="1"/>
  <c r="AA174" i="1" s="1"/>
  <c r="Z175" i="1"/>
  <c r="Z176" i="1"/>
  <c r="AA176" i="1" s="1"/>
  <c r="Z177" i="1"/>
  <c r="Z178" i="1"/>
  <c r="AA178" i="1" s="1"/>
  <c r="Z179" i="1"/>
  <c r="Z180" i="1"/>
  <c r="AA180" i="1" s="1"/>
  <c r="Z181" i="1"/>
  <c r="Z182" i="1"/>
  <c r="AA182" i="1" s="1"/>
  <c r="Z183" i="1"/>
  <c r="Z184" i="1"/>
  <c r="AA184" i="1" s="1"/>
  <c r="Z185" i="1"/>
  <c r="Z186" i="1"/>
  <c r="AA186" i="1" s="1"/>
  <c r="Z187" i="1"/>
  <c r="Z188" i="1"/>
  <c r="AA188" i="1" s="1"/>
  <c r="Z189" i="1"/>
  <c r="Z190" i="1"/>
  <c r="AA190" i="1" s="1"/>
  <c r="Z191" i="1"/>
  <c r="Z192" i="1"/>
  <c r="AA192" i="1" s="1"/>
  <c r="Z193" i="1"/>
  <c r="Z194" i="1"/>
  <c r="AA194" i="1" s="1"/>
  <c r="Z195" i="1"/>
  <c r="Z196" i="1"/>
  <c r="AA196" i="1" s="1"/>
  <c r="Z197" i="1"/>
  <c r="Z198" i="1"/>
  <c r="AA198" i="1" s="1"/>
  <c r="Z199" i="1"/>
  <c r="Z200" i="1"/>
  <c r="AA200" i="1" s="1"/>
  <c r="Z201" i="1"/>
  <c r="Z202" i="1"/>
  <c r="AA202" i="1" s="1"/>
  <c r="Z2" i="1"/>
  <c r="AA2" i="1" s="1"/>
  <c r="W5" i="1"/>
  <c r="T7" i="1"/>
  <c r="T8" i="1" s="1"/>
  <c r="B18" i="1"/>
  <c r="B38" i="1"/>
  <c r="AK2" i="1" s="1"/>
  <c r="B37" i="1"/>
  <c r="B29" i="1"/>
  <c r="B30" i="1" s="1"/>
  <c r="B23" i="1"/>
  <c r="T3" i="1"/>
  <c r="AA201" i="1"/>
  <c r="AA199" i="1"/>
  <c r="AA197" i="1"/>
  <c r="AA195" i="1"/>
  <c r="AA193" i="1"/>
  <c r="AA191" i="1"/>
  <c r="AA189" i="1"/>
  <c r="AA187" i="1"/>
  <c r="AA185" i="1"/>
  <c r="AA183" i="1"/>
  <c r="AA181" i="1"/>
  <c r="AA179" i="1"/>
  <c r="AA177" i="1"/>
  <c r="AA175" i="1"/>
  <c r="AA173" i="1"/>
  <c r="AA171" i="1"/>
  <c r="AA169" i="1"/>
  <c r="AA167" i="1"/>
  <c r="AA165" i="1"/>
  <c r="AA163" i="1"/>
  <c r="AA161" i="1"/>
  <c r="AA159" i="1"/>
  <c r="AA157" i="1"/>
  <c r="AA155" i="1"/>
  <c r="AA153" i="1"/>
  <c r="AA151" i="1"/>
  <c r="AA149" i="1"/>
  <c r="AA147" i="1"/>
  <c r="AA145" i="1"/>
  <c r="AA143" i="1"/>
  <c r="AA141" i="1"/>
  <c r="AA139" i="1"/>
  <c r="AA137" i="1"/>
  <c r="AA135" i="1"/>
  <c r="AA133" i="1"/>
  <c r="AA131" i="1"/>
  <c r="AA129" i="1"/>
  <c r="AA127" i="1"/>
  <c r="AA125" i="1"/>
  <c r="AA123" i="1"/>
  <c r="AA121" i="1"/>
  <c r="AA119" i="1"/>
  <c r="AA117" i="1"/>
  <c r="AA115" i="1"/>
  <c r="AA113" i="1"/>
  <c r="AA111" i="1"/>
  <c r="AA109" i="1"/>
  <c r="AA107" i="1"/>
  <c r="AA105" i="1"/>
  <c r="AA103" i="1"/>
  <c r="AA101" i="1"/>
  <c r="AA99" i="1"/>
  <c r="AA97" i="1"/>
  <c r="AA95" i="1"/>
  <c r="AA93" i="1"/>
  <c r="AA91" i="1"/>
  <c r="AA89" i="1"/>
  <c r="AA87" i="1"/>
  <c r="AA85" i="1"/>
  <c r="AA83" i="1"/>
  <c r="AA81" i="1"/>
  <c r="AA79" i="1"/>
  <c r="AA77" i="1"/>
  <c r="AA75" i="1"/>
  <c r="AA73" i="1"/>
  <c r="AA71" i="1"/>
  <c r="AA69" i="1"/>
  <c r="AA67" i="1"/>
  <c r="AA65" i="1"/>
  <c r="AA63" i="1"/>
  <c r="AA61" i="1"/>
  <c r="AA59" i="1"/>
  <c r="AA57" i="1"/>
  <c r="AA55" i="1"/>
  <c r="AA53" i="1"/>
  <c r="AA51" i="1"/>
  <c r="AA49" i="1"/>
  <c r="AA47" i="1"/>
  <c r="AA45" i="1"/>
  <c r="AA43" i="1"/>
  <c r="AA41" i="1"/>
  <c r="AA39" i="1"/>
  <c r="AA37" i="1"/>
  <c r="AA35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T16" i="1"/>
  <c r="AA14" i="1"/>
  <c r="AA13" i="1"/>
  <c r="AA12" i="1"/>
  <c r="AA11" i="1"/>
  <c r="AA10" i="1"/>
  <c r="AA9" i="1"/>
  <c r="AA8" i="1"/>
  <c r="AA7" i="1"/>
  <c r="AA5" i="1"/>
  <c r="AA4" i="1"/>
  <c r="AA3" i="1"/>
  <c r="AB3" i="1" l="1"/>
  <c r="AB7" i="1"/>
  <c r="AB11" i="1"/>
  <c r="AB15" i="1"/>
  <c r="AB19" i="1"/>
  <c r="AB23" i="1"/>
  <c r="AB27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59" i="1"/>
  <c r="AB163" i="1"/>
  <c r="AB167" i="1"/>
  <c r="AB171" i="1"/>
  <c r="AB175" i="1"/>
  <c r="AB179" i="1"/>
  <c r="AB183" i="1"/>
  <c r="AB187" i="1"/>
  <c r="AB191" i="1"/>
  <c r="AB195" i="1"/>
  <c r="AB199" i="1"/>
  <c r="AB2" i="1"/>
  <c r="AB21" i="1"/>
  <c r="AB57" i="1"/>
  <c r="AB65" i="1"/>
  <c r="AB77" i="1"/>
  <c r="AB85" i="1"/>
  <c r="AB93" i="1"/>
  <c r="AB101" i="1"/>
  <c r="AB109" i="1"/>
  <c r="AB117" i="1"/>
  <c r="AB125" i="1"/>
  <c r="AB133" i="1"/>
  <c r="AB141" i="1"/>
  <c r="AB149" i="1"/>
  <c r="AB157" i="1"/>
  <c r="AB165" i="1"/>
  <c r="AB173" i="1"/>
  <c r="AB181" i="1"/>
  <c r="AB189" i="1"/>
  <c r="AB197" i="1"/>
  <c r="AB6" i="1"/>
  <c r="AB18" i="1"/>
  <c r="AB26" i="1"/>
  <c r="AB34" i="1"/>
  <c r="AB38" i="1"/>
  <c r="AB4" i="1"/>
  <c r="AB8" i="1"/>
  <c r="AB12" i="1"/>
  <c r="AB16" i="1"/>
  <c r="AB20" i="1"/>
  <c r="AB24" i="1"/>
  <c r="AB28" i="1"/>
  <c r="AB32" i="1"/>
  <c r="AB36" i="1"/>
  <c r="AB40" i="1"/>
  <c r="AB44" i="1"/>
  <c r="AB48" i="1"/>
  <c r="AB52" i="1"/>
  <c r="AB56" i="1"/>
  <c r="AB60" i="1"/>
  <c r="AB64" i="1"/>
  <c r="AB68" i="1"/>
  <c r="AB72" i="1"/>
  <c r="AB76" i="1"/>
  <c r="AB80" i="1"/>
  <c r="AB84" i="1"/>
  <c r="AB88" i="1"/>
  <c r="AB92" i="1"/>
  <c r="AB96" i="1"/>
  <c r="AB100" i="1"/>
  <c r="AB104" i="1"/>
  <c r="AB108" i="1"/>
  <c r="AB112" i="1"/>
  <c r="AB116" i="1"/>
  <c r="AB120" i="1"/>
  <c r="AB124" i="1"/>
  <c r="AB128" i="1"/>
  <c r="AB132" i="1"/>
  <c r="AB136" i="1"/>
  <c r="AB140" i="1"/>
  <c r="AB144" i="1"/>
  <c r="AB148" i="1"/>
  <c r="AB152" i="1"/>
  <c r="AB156" i="1"/>
  <c r="AB160" i="1"/>
  <c r="AB164" i="1"/>
  <c r="AB168" i="1"/>
  <c r="AB172" i="1"/>
  <c r="AB176" i="1"/>
  <c r="AB180" i="1"/>
  <c r="AB184" i="1"/>
  <c r="AB188" i="1"/>
  <c r="AB192" i="1"/>
  <c r="AB196" i="1"/>
  <c r="AB200" i="1"/>
  <c r="AB5" i="1"/>
  <c r="AB9" i="1"/>
  <c r="AB13" i="1"/>
  <c r="AB17" i="1"/>
  <c r="AB25" i="1"/>
  <c r="AB29" i="1"/>
  <c r="AB33" i="1"/>
  <c r="AB37" i="1"/>
  <c r="AB41" i="1"/>
  <c r="AB45" i="1"/>
  <c r="AB49" i="1"/>
  <c r="AB53" i="1"/>
  <c r="AB61" i="1"/>
  <c r="AB69" i="1"/>
  <c r="AB73" i="1"/>
  <c r="AB81" i="1"/>
  <c r="AB89" i="1"/>
  <c r="AB97" i="1"/>
  <c r="AB105" i="1"/>
  <c r="AB113" i="1"/>
  <c r="AB121" i="1"/>
  <c r="AB129" i="1"/>
  <c r="AB137" i="1"/>
  <c r="AB145" i="1"/>
  <c r="AB153" i="1"/>
  <c r="AB161" i="1"/>
  <c r="AB169" i="1"/>
  <c r="AB177" i="1"/>
  <c r="AB185" i="1"/>
  <c r="AB193" i="1"/>
  <c r="AB201" i="1"/>
  <c r="AB10" i="1"/>
  <c r="AB14" i="1"/>
  <c r="AB22" i="1"/>
  <c r="AB30" i="1"/>
  <c r="AB58" i="1"/>
  <c r="AB186" i="1"/>
  <c r="AB46" i="1"/>
  <c r="AB62" i="1"/>
  <c r="AB78" i="1"/>
  <c r="AB94" i="1"/>
  <c r="AB110" i="1"/>
  <c r="AB126" i="1"/>
  <c r="AB142" i="1"/>
  <c r="AB158" i="1"/>
  <c r="AB174" i="1"/>
  <c r="AB190" i="1"/>
  <c r="AB50" i="1"/>
  <c r="AB66" i="1"/>
  <c r="AB82" i="1"/>
  <c r="AB98" i="1"/>
  <c r="AB114" i="1"/>
  <c r="AB130" i="1"/>
  <c r="AB146" i="1"/>
  <c r="AB162" i="1"/>
  <c r="AB178" i="1"/>
  <c r="AB194" i="1"/>
  <c r="AB54" i="1"/>
  <c r="AB70" i="1"/>
  <c r="AB86" i="1"/>
  <c r="AB102" i="1"/>
  <c r="AB118" i="1"/>
  <c r="AB134" i="1"/>
  <c r="AB150" i="1"/>
  <c r="AB166" i="1"/>
  <c r="AB182" i="1"/>
  <c r="AB198" i="1"/>
  <c r="AB42" i="1"/>
  <c r="AB74" i="1"/>
  <c r="AB90" i="1"/>
  <c r="AB106" i="1"/>
  <c r="AB122" i="1"/>
  <c r="AB138" i="1"/>
  <c r="AB154" i="1"/>
  <c r="AB170" i="1"/>
  <c r="AB202" i="1"/>
  <c r="G8" i="1"/>
  <c r="G10" i="1"/>
  <c r="W2" i="1" s="1"/>
  <c r="T9" i="1"/>
  <c r="B17" i="1"/>
  <c r="B24" i="1" l="1"/>
  <c r="B33" i="1"/>
  <c r="B32" i="1"/>
  <c r="B19" i="1"/>
  <c r="G14" i="1"/>
  <c r="AC2" i="1"/>
  <c r="T1" i="1"/>
  <c r="G11" i="1"/>
  <c r="B20" i="1"/>
  <c r="AD5" i="1" l="1"/>
  <c r="AD9" i="1"/>
  <c r="AD13" i="1"/>
  <c r="AD17" i="1"/>
  <c r="AD21" i="1"/>
  <c r="AD25" i="1"/>
  <c r="AD29" i="1"/>
  <c r="AD33" i="1"/>
  <c r="AD37" i="1"/>
  <c r="AD41" i="1"/>
  <c r="AD45" i="1"/>
  <c r="AD49" i="1"/>
  <c r="AD53" i="1"/>
  <c r="AD57" i="1"/>
  <c r="AD61" i="1"/>
  <c r="AD65" i="1"/>
  <c r="AD69" i="1"/>
  <c r="AD73" i="1"/>
  <c r="AD77" i="1"/>
  <c r="AD81" i="1"/>
  <c r="AD85" i="1"/>
  <c r="AD89" i="1"/>
  <c r="AD93" i="1"/>
  <c r="AD97" i="1"/>
  <c r="AD101" i="1"/>
  <c r="AD105" i="1"/>
  <c r="AD109" i="1"/>
  <c r="AD113" i="1"/>
  <c r="AD6" i="1"/>
  <c r="AD10" i="1"/>
  <c r="AD14" i="1"/>
  <c r="AD18" i="1"/>
  <c r="AD22" i="1"/>
  <c r="AD26" i="1"/>
  <c r="AD30" i="1"/>
  <c r="AD34" i="1"/>
  <c r="AD38" i="1"/>
  <c r="AD42" i="1"/>
  <c r="AD46" i="1"/>
  <c r="AD50" i="1"/>
  <c r="AD54" i="1"/>
  <c r="AD58" i="1"/>
  <c r="AD62" i="1"/>
  <c r="AD66" i="1"/>
  <c r="W7" i="1"/>
  <c r="AD4" i="1"/>
  <c r="AD8" i="1"/>
  <c r="AD12" i="1"/>
  <c r="AD16" i="1"/>
  <c r="AD20" i="1"/>
  <c r="AD24" i="1"/>
  <c r="AD28" i="1"/>
  <c r="AD32" i="1"/>
  <c r="AD36" i="1"/>
  <c r="AD40" i="1"/>
  <c r="AD44" i="1"/>
  <c r="AD48" i="1"/>
  <c r="AD52" i="1"/>
  <c r="AD56" i="1"/>
  <c r="AD60" i="1"/>
  <c r="AD64" i="1"/>
  <c r="AD3" i="1"/>
  <c r="AD19" i="1"/>
  <c r="AD35" i="1"/>
  <c r="AD51" i="1"/>
  <c r="AD67" i="1"/>
  <c r="AD72" i="1"/>
  <c r="AD78" i="1"/>
  <c r="AD83" i="1"/>
  <c r="AD88" i="1"/>
  <c r="AD94" i="1"/>
  <c r="AD99" i="1"/>
  <c r="AD104" i="1"/>
  <c r="AD110" i="1"/>
  <c r="AD115" i="1"/>
  <c r="AD119" i="1"/>
  <c r="AD123" i="1"/>
  <c r="AD127" i="1"/>
  <c r="AD131" i="1"/>
  <c r="AD135" i="1"/>
  <c r="AD139" i="1"/>
  <c r="AD143" i="1"/>
  <c r="AD147" i="1"/>
  <c r="AD151" i="1"/>
  <c r="AD155" i="1"/>
  <c r="AD159" i="1"/>
  <c r="AD163" i="1"/>
  <c r="AD167" i="1"/>
  <c r="AD171" i="1"/>
  <c r="AD175" i="1"/>
  <c r="AD179" i="1"/>
  <c r="AD183" i="1"/>
  <c r="AD187" i="1"/>
  <c r="AD191" i="1"/>
  <c r="AD195" i="1"/>
  <c r="AD199" i="1"/>
  <c r="AD2" i="1"/>
  <c r="AD7" i="1"/>
  <c r="AD23" i="1"/>
  <c r="AD39" i="1"/>
  <c r="AD55" i="1"/>
  <c r="AD68" i="1"/>
  <c r="AD74" i="1"/>
  <c r="AD79" i="1"/>
  <c r="AD84" i="1"/>
  <c r="AD90" i="1"/>
  <c r="AD95" i="1"/>
  <c r="AD100" i="1"/>
  <c r="AD106" i="1"/>
  <c r="AD111" i="1"/>
  <c r="AD116" i="1"/>
  <c r="AD120" i="1"/>
  <c r="AD124" i="1"/>
  <c r="AD128" i="1"/>
  <c r="AD132" i="1"/>
  <c r="AD136" i="1"/>
  <c r="AD140" i="1"/>
  <c r="AD144" i="1"/>
  <c r="AD148" i="1"/>
  <c r="AD152" i="1"/>
  <c r="AD156" i="1"/>
  <c r="AD160" i="1"/>
  <c r="AD164" i="1"/>
  <c r="AD168" i="1"/>
  <c r="AD172" i="1"/>
  <c r="AD176" i="1"/>
  <c r="AD180" i="1"/>
  <c r="AD184" i="1"/>
  <c r="AD188" i="1"/>
  <c r="AD192" i="1"/>
  <c r="AD196" i="1"/>
  <c r="AD200" i="1"/>
  <c r="AD15" i="1"/>
  <c r="AD31" i="1"/>
  <c r="AD47" i="1"/>
  <c r="AD63" i="1"/>
  <c r="AD71" i="1"/>
  <c r="AD76" i="1"/>
  <c r="AD82" i="1"/>
  <c r="AD87" i="1"/>
  <c r="AD92" i="1"/>
  <c r="AD98" i="1"/>
  <c r="AD103" i="1"/>
  <c r="AD108" i="1"/>
  <c r="AD114" i="1"/>
  <c r="AD118" i="1"/>
  <c r="AD122" i="1"/>
  <c r="AD126" i="1"/>
  <c r="AD130" i="1"/>
  <c r="AD134" i="1"/>
  <c r="AD138" i="1"/>
  <c r="AD142" i="1"/>
  <c r="AD146" i="1"/>
  <c r="AD150" i="1"/>
  <c r="AD154" i="1"/>
  <c r="AD158" i="1"/>
  <c r="AD162" i="1"/>
  <c r="AD166" i="1"/>
  <c r="AD170" i="1"/>
  <c r="AD174" i="1"/>
  <c r="AD178" i="1"/>
  <c r="AD182" i="1"/>
  <c r="AD186" i="1"/>
  <c r="AD190" i="1"/>
  <c r="AD194" i="1"/>
  <c r="AD198" i="1"/>
  <c r="AD202" i="1"/>
  <c r="AD43" i="1"/>
  <c r="AD80" i="1"/>
  <c r="AD102" i="1"/>
  <c r="AD121" i="1"/>
  <c r="AD137" i="1"/>
  <c r="AD153" i="1"/>
  <c r="AD169" i="1"/>
  <c r="AD185" i="1"/>
  <c r="AD201" i="1"/>
  <c r="AD149" i="1"/>
  <c r="AD59" i="1"/>
  <c r="AD86" i="1"/>
  <c r="AD107" i="1"/>
  <c r="AD125" i="1"/>
  <c r="AD141" i="1"/>
  <c r="AD157" i="1"/>
  <c r="AD173" i="1"/>
  <c r="AD189" i="1"/>
  <c r="AD133" i="1"/>
  <c r="AD11" i="1"/>
  <c r="AD70" i="1"/>
  <c r="AD91" i="1"/>
  <c r="AD112" i="1"/>
  <c r="AD129" i="1"/>
  <c r="AD145" i="1"/>
  <c r="AD161" i="1"/>
  <c r="AD177" i="1"/>
  <c r="AD193" i="1"/>
  <c r="AD27" i="1"/>
  <c r="AD75" i="1"/>
  <c r="AD96" i="1"/>
  <c r="AD117" i="1"/>
  <c r="AD165" i="1"/>
  <c r="AD181" i="1"/>
  <c r="AD197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53" i="1"/>
  <c r="AE57" i="1"/>
  <c r="AE61" i="1"/>
  <c r="AE65" i="1"/>
  <c r="AE69" i="1"/>
  <c r="AE73" i="1"/>
  <c r="AE77" i="1"/>
  <c r="AE81" i="1"/>
  <c r="AE85" i="1"/>
  <c r="AE89" i="1"/>
  <c r="AE93" i="1"/>
  <c r="AE97" i="1"/>
  <c r="AE101" i="1"/>
  <c r="AE105" i="1"/>
  <c r="AE109" i="1"/>
  <c r="AE113" i="1"/>
  <c r="AE117" i="1"/>
  <c r="AE121" i="1"/>
  <c r="AE125" i="1"/>
  <c r="AE129" i="1"/>
  <c r="AE133" i="1"/>
  <c r="AE137" i="1"/>
  <c r="AE141" i="1"/>
  <c r="AE145" i="1"/>
  <c r="W3" i="1"/>
  <c r="AE3" i="1"/>
  <c r="AE8" i="1"/>
  <c r="AE14" i="1"/>
  <c r="AE19" i="1"/>
  <c r="AE24" i="1"/>
  <c r="AE30" i="1"/>
  <c r="AE35" i="1"/>
  <c r="AE40" i="1"/>
  <c r="AE46" i="1"/>
  <c r="AE51" i="1"/>
  <c r="AE56" i="1"/>
  <c r="AE62" i="1"/>
  <c r="AE67" i="1"/>
  <c r="AE72" i="1"/>
  <c r="AE78" i="1"/>
  <c r="AE83" i="1"/>
  <c r="AE88" i="1"/>
  <c r="AE94" i="1"/>
  <c r="AE99" i="1"/>
  <c r="AE104" i="1"/>
  <c r="AE110" i="1"/>
  <c r="AE115" i="1"/>
  <c r="AE120" i="1"/>
  <c r="AE126" i="1"/>
  <c r="AE131" i="1"/>
  <c r="AE136" i="1"/>
  <c r="AE142" i="1"/>
  <c r="AE147" i="1"/>
  <c r="AE151" i="1"/>
  <c r="AE155" i="1"/>
  <c r="AE159" i="1"/>
  <c r="AE163" i="1"/>
  <c r="AE167" i="1"/>
  <c r="AE171" i="1"/>
  <c r="AE175" i="1"/>
  <c r="AE179" i="1"/>
  <c r="AE183" i="1"/>
  <c r="AE187" i="1"/>
  <c r="AE191" i="1"/>
  <c r="AE195" i="1"/>
  <c r="AE199" i="1"/>
  <c r="AE2" i="1"/>
  <c r="AF2" i="1" s="1"/>
  <c r="AH2" i="1" s="1"/>
  <c r="AI2" i="1" s="1"/>
  <c r="AE4" i="1"/>
  <c r="AE10" i="1"/>
  <c r="AE15" i="1"/>
  <c r="AE20" i="1"/>
  <c r="AE26" i="1"/>
  <c r="AE31" i="1"/>
  <c r="AE36" i="1"/>
  <c r="AE42" i="1"/>
  <c r="AE47" i="1"/>
  <c r="AE52" i="1"/>
  <c r="AE58" i="1"/>
  <c r="AE63" i="1"/>
  <c r="AE68" i="1"/>
  <c r="AE74" i="1"/>
  <c r="AE79" i="1"/>
  <c r="AE84" i="1"/>
  <c r="AE90" i="1"/>
  <c r="AE95" i="1"/>
  <c r="AE100" i="1"/>
  <c r="AE106" i="1"/>
  <c r="AE111" i="1"/>
  <c r="AE116" i="1"/>
  <c r="AE122" i="1"/>
  <c r="AE127" i="1"/>
  <c r="AE132" i="1"/>
  <c r="AE138" i="1"/>
  <c r="AE143" i="1"/>
  <c r="AE148" i="1"/>
  <c r="AE152" i="1"/>
  <c r="AE156" i="1"/>
  <c r="AE160" i="1"/>
  <c r="AE164" i="1"/>
  <c r="AE168" i="1"/>
  <c r="AE172" i="1"/>
  <c r="AE176" i="1"/>
  <c r="AE180" i="1"/>
  <c r="AE184" i="1"/>
  <c r="AE188" i="1"/>
  <c r="AE192" i="1"/>
  <c r="AE196" i="1"/>
  <c r="AE200" i="1"/>
  <c r="AE7" i="1"/>
  <c r="AE12" i="1"/>
  <c r="AE18" i="1"/>
  <c r="AE23" i="1"/>
  <c r="AE28" i="1"/>
  <c r="AE34" i="1"/>
  <c r="AE39" i="1"/>
  <c r="AE44" i="1"/>
  <c r="AE50" i="1"/>
  <c r="AE55" i="1"/>
  <c r="AE60" i="1"/>
  <c r="AE66" i="1"/>
  <c r="AE71" i="1"/>
  <c r="AE76" i="1"/>
  <c r="AE82" i="1"/>
  <c r="AE87" i="1"/>
  <c r="AE92" i="1"/>
  <c r="AE98" i="1"/>
  <c r="AE103" i="1"/>
  <c r="AE108" i="1"/>
  <c r="AE114" i="1"/>
  <c r="AE119" i="1"/>
  <c r="AE124" i="1"/>
  <c r="AE130" i="1"/>
  <c r="AE135" i="1"/>
  <c r="AE140" i="1"/>
  <c r="AE146" i="1"/>
  <c r="AE150" i="1"/>
  <c r="AE154" i="1"/>
  <c r="AE158" i="1"/>
  <c r="AE162" i="1"/>
  <c r="AE166" i="1"/>
  <c r="AE170" i="1"/>
  <c r="AF170" i="1" s="1"/>
  <c r="AE174" i="1"/>
  <c r="AE178" i="1"/>
  <c r="AE182" i="1"/>
  <c r="AE186" i="1"/>
  <c r="AE190" i="1"/>
  <c r="AE194" i="1"/>
  <c r="AE198" i="1"/>
  <c r="AE202" i="1"/>
  <c r="AE16" i="1"/>
  <c r="AE38" i="1"/>
  <c r="AE59" i="1"/>
  <c r="AE80" i="1"/>
  <c r="AE102" i="1"/>
  <c r="AE123" i="1"/>
  <c r="AE144" i="1"/>
  <c r="AE161" i="1"/>
  <c r="AE177" i="1"/>
  <c r="AE193" i="1"/>
  <c r="AE22" i="1"/>
  <c r="AE43" i="1"/>
  <c r="AE64" i="1"/>
  <c r="AE86" i="1"/>
  <c r="AE107" i="1"/>
  <c r="AE128" i="1"/>
  <c r="AE149" i="1"/>
  <c r="AE165" i="1"/>
  <c r="AE181" i="1"/>
  <c r="AE197" i="1"/>
  <c r="AE11" i="1"/>
  <c r="AE32" i="1"/>
  <c r="AE54" i="1"/>
  <c r="AE75" i="1"/>
  <c r="AE96" i="1"/>
  <c r="AE118" i="1"/>
  <c r="AE139" i="1"/>
  <c r="AE157" i="1"/>
  <c r="AF157" i="1" s="1"/>
  <c r="AG157" i="1" s="1"/>
  <c r="AJ157" i="1" s="1"/>
  <c r="AE173" i="1"/>
  <c r="AE189" i="1"/>
  <c r="AE48" i="1"/>
  <c r="AE134" i="1"/>
  <c r="AE201" i="1"/>
  <c r="AE70" i="1"/>
  <c r="AE153" i="1"/>
  <c r="AE6" i="1"/>
  <c r="AE91" i="1"/>
  <c r="AE169" i="1"/>
  <c r="AE27" i="1"/>
  <c r="AE112" i="1"/>
  <c r="AE185" i="1"/>
  <c r="T2" i="1"/>
  <c r="T6" i="1"/>
  <c r="AF43" i="1" l="1"/>
  <c r="AH43" i="1" s="1"/>
  <c r="AI43" i="1" s="1"/>
  <c r="AF28" i="1"/>
  <c r="AH28" i="1" s="1"/>
  <c r="AI28" i="1" s="1"/>
  <c r="AF50" i="1"/>
  <c r="AG50" i="1" s="1"/>
  <c r="AJ50" i="1" s="1"/>
  <c r="AF5" i="1"/>
  <c r="AG5" i="1" s="1"/>
  <c r="AJ5" i="1" s="1"/>
  <c r="AF197" i="1"/>
  <c r="AH197" i="1" s="1"/>
  <c r="AI197" i="1" s="1"/>
  <c r="AF133" i="1"/>
  <c r="AG133" i="1" s="1"/>
  <c r="AJ133" i="1" s="1"/>
  <c r="AF31" i="1"/>
  <c r="AG31" i="1" s="1"/>
  <c r="AJ31" i="1" s="1"/>
  <c r="AH157" i="1"/>
  <c r="AI157" i="1" s="1"/>
  <c r="AF103" i="1"/>
  <c r="AG103" i="1" s="1"/>
  <c r="AJ103" i="1" s="1"/>
  <c r="AF94" i="1"/>
  <c r="AG94" i="1" s="1"/>
  <c r="AJ94" i="1" s="1"/>
  <c r="AF93" i="1"/>
  <c r="AH93" i="1" s="1"/>
  <c r="AI93" i="1" s="1"/>
  <c r="AF27" i="1"/>
  <c r="AG27" i="1" s="1"/>
  <c r="AJ27" i="1" s="1"/>
  <c r="AF87" i="1"/>
  <c r="AG87" i="1" s="1"/>
  <c r="AJ87" i="1" s="1"/>
  <c r="AF200" i="1"/>
  <c r="AG200" i="1" s="1"/>
  <c r="AJ200" i="1" s="1"/>
  <c r="AF184" i="1"/>
  <c r="AF120" i="1"/>
  <c r="AF100" i="1"/>
  <c r="AG100" i="1" s="1"/>
  <c r="AJ100" i="1" s="1"/>
  <c r="AF151" i="1"/>
  <c r="AG151" i="1" s="1"/>
  <c r="AJ151" i="1" s="1"/>
  <c r="AF99" i="1"/>
  <c r="AH99" i="1" s="1"/>
  <c r="AI99" i="1" s="1"/>
  <c r="AF44" i="1"/>
  <c r="AG44" i="1" s="1"/>
  <c r="AJ44" i="1" s="1"/>
  <c r="AF97" i="1"/>
  <c r="AH97" i="1" s="1"/>
  <c r="AI97" i="1" s="1"/>
  <c r="AF81" i="1"/>
  <c r="AG81" i="1" s="1"/>
  <c r="AJ81" i="1" s="1"/>
  <c r="AF33" i="1"/>
  <c r="AF17" i="1"/>
  <c r="AG17" i="1" s="1"/>
  <c r="AJ17" i="1" s="1"/>
  <c r="AF132" i="1"/>
  <c r="AH132" i="1" s="1"/>
  <c r="AI132" i="1" s="1"/>
  <c r="AF182" i="1"/>
  <c r="AH182" i="1" s="1"/>
  <c r="AI182" i="1" s="1"/>
  <c r="AF166" i="1"/>
  <c r="AH166" i="1" s="1"/>
  <c r="AI166" i="1" s="1"/>
  <c r="AF176" i="1"/>
  <c r="AG176" i="1" s="1"/>
  <c r="AJ176" i="1" s="1"/>
  <c r="AF68" i="1"/>
  <c r="AG68" i="1" s="1"/>
  <c r="AJ68" i="1" s="1"/>
  <c r="AF159" i="1"/>
  <c r="AH159" i="1" s="1"/>
  <c r="AI159" i="1" s="1"/>
  <c r="AF110" i="1"/>
  <c r="AH110" i="1" s="1"/>
  <c r="AI110" i="1" s="1"/>
  <c r="AF3" i="1"/>
  <c r="AF105" i="1"/>
  <c r="AG105" i="1" s="1"/>
  <c r="AJ105" i="1" s="1"/>
  <c r="AF89" i="1"/>
  <c r="AG89" i="1" s="1"/>
  <c r="AJ89" i="1" s="1"/>
  <c r="AF41" i="1"/>
  <c r="AG41" i="1" s="1"/>
  <c r="AJ41" i="1" s="1"/>
  <c r="AF25" i="1"/>
  <c r="AG25" i="1" s="1"/>
  <c r="AJ25" i="1" s="1"/>
  <c r="AF71" i="1"/>
  <c r="AH71" i="1" s="1"/>
  <c r="AI71" i="1" s="1"/>
  <c r="AH170" i="1"/>
  <c r="AI170" i="1" s="1"/>
  <c r="AG170" i="1"/>
  <c r="AJ170" i="1" s="1"/>
  <c r="AF165" i="1"/>
  <c r="AG165" i="1" s="1"/>
  <c r="AJ165" i="1" s="1"/>
  <c r="AF186" i="1"/>
  <c r="AF196" i="1"/>
  <c r="AF179" i="1"/>
  <c r="AF77" i="1"/>
  <c r="AF60" i="1"/>
  <c r="AG60" i="1" s="1"/>
  <c r="AJ60" i="1" s="1"/>
  <c r="AF18" i="1"/>
  <c r="AF112" i="1"/>
  <c r="AG112" i="1" s="1"/>
  <c r="AJ112" i="1" s="1"/>
  <c r="AF141" i="1"/>
  <c r="AF169" i="1"/>
  <c r="AG169" i="1" s="1"/>
  <c r="AJ169" i="1" s="1"/>
  <c r="AF118" i="1"/>
  <c r="AF52" i="1"/>
  <c r="AF42" i="1"/>
  <c r="AF10" i="1"/>
  <c r="AF119" i="1"/>
  <c r="AG119" i="1" s="1"/>
  <c r="AJ119" i="1" s="1"/>
  <c r="AF34" i="1"/>
  <c r="AH34" i="1" s="1"/>
  <c r="AI34" i="1" s="1"/>
  <c r="AF12" i="1"/>
  <c r="AH12" i="1" s="1"/>
  <c r="AI12" i="1" s="1"/>
  <c r="AF58" i="1"/>
  <c r="AH58" i="1" s="1"/>
  <c r="AI58" i="1" s="1"/>
  <c r="AF9" i="1"/>
  <c r="AG9" i="1" s="1"/>
  <c r="AJ9" i="1" s="1"/>
  <c r="AF75" i="1"/>
  <c r="AF161" i="1"/>
  <c r="AF91" i="1"/>
  <c r="AH91" i="1" s="1"/>
  <c r="AI91" i="1" s="1"/>
  <c r="AF189" i="1"/>
  <c r="AF125" i="1"/>
  <c r="AF149" i="1"/>
  <c r="AG149" i="1" s="1"/>
  <c r="AJ149" i="1" s="1"/>
  <c r="AF80" i="1"/>
  <c r="AG80" i="1" s="1"/>
  <c r="AJ80" i="1" s="1"/>
  <c r="AF194" i="1"/>
  <c r="AF178" i="1"/>
  <c r="AF162" i="1"/>
  <c r="AF146" i="1"/>
  <c r="AF114" i="1"/>
  <c r="AF92" i="1"/>
  <c r="AF188" i="1"/>
  <c r="AF172" i="1"/>
  <c r="AF156" i="1"/>
  <c r="AF124" i="1"/>
  <c r="AF106" i="1"/>
  <c r="AF84" i="1"/>
  <c r="AF187" i="1"/>
  <c r="AF171" i="1"/>
  <c r="AF155" i="1"/>
  <c r="AF123" i="1"/>
  <c r="AF104" i="1"/>
  <c r="AF83" i="1"/>
  <c r="AF51" i="1"/>
  <c r="AG51" i="1" s="1"/>
  <c r="AJ51" i="1" s="1"/>
  <c r="AF64" i="1"/>
  <c r="AH64" i="1" s="1"/>
  <c r="AI64" i="1" s="1"/>
  <c r="AF32" i="1"/>
  <c r="AF54" i="1"/>
  <c r="AH54" i="1" s="1"/>
  <c r="AI54" i="1" s="1"/>
  <c r="AF38" i="1"/>
  <c r="AG38" i="1" s="1"/>
  <c r="AJ38" i="1" s="1"/>
  <c r="AF6" i="1"/>
  <c r="AF101" i="1"/>
  <c r="AF85" i="1"/>
  <c r="AF69" i="1"/>
  <c r="AF53" i="1"/>
  <c r="AF37" i="1"/>
  <c r="AF21" i="1"/>
  <c r="AF107" i="1"/>
  <c r="AG107" i="1" s="1"/>
  <c r="AJ107" i="1" s="1"/>
  <c r="AF144" i="1"/>
  <c r="AH144" i="1" s="1"/>
  <c r="AI144" i="1" s="1"/>
  <c r="AF111" i="1"/>
  <c r="AH111" i="1" s="1"/>
  <c r="AI111" i="1" s="1"/>
  <c r="AF191" i="1"/>
  <c r="AH191" i="1" s="1"/>
  <c r="AI191" i="1" s="1"/>
  <c r="AF35" i="1"/>
  <c r="AG35" i="1" s="1"/>
  <c r="AJ35" i="1" s="1"/>
  <c r="AF117" i="1"/>
  <c r="AF193" i="1"/>
  <c r="AF86" i="1"/>
  <c r="AF185" i="1"/>
  <c r="AH185" i="1" s="1"/>
  <c r="AI185" i="1" s="1"/>
  <c r="AF202" i="1"/>
  <c r="AF154" i="1"/>
  <c r="AF138" i="1"/>
  <c r="AF82" i="1"/>
  <c r="AF180" i="1"/>
  <c r="AF164" i="1"/>
  <c r="AF148" i="1"/>
  <c r="AF116" i="1"/>
  <c r="AF95" i="1"/>
  <c r="AG95" i="1" s="1"/>
  <c r="AJ95" i="1" s="1"/>
  <c r="AF74" i="1"/>
  <c r="AF195" i="1"/>
  <c r="AF163" i="1"/>
  <c r="AF147" i="1"/>
  <c r="AF115" i="1"/>
  <c r="AF72" i="1"/>
  <c r="AF19" i="1"/>
  <c r="AF40" i="1"/>
  <c r="AF8" i="1"/>
  <c r="AF62" i="1"/>
  <c r="AF30" i="1"/>
  <c r="AF109" i="1"/>
  <c r="AG109" i="1" s="1"/>
  <c r="AJ109" i="1" s="1"/>
  <c r="AF61" i="1"/>
  <c r="AF45" i="1"/>
  <c r="AF29" i="1"/>
  <c r="AF13" i="1"/>
  <c r="AH103" i="1"/>
  <c r="AI103" i="1" s="1"/>
  <c r="AF96" i="1"/>
  <c r="AF102" i="1"/>
  <c r="AF181" i="1"/>
  <c r="AF153" i="1"/>
  <c r="AF130" i="1"/>
  <c r="AF15" i="1"/>
  <c r="AF140" i="1"/>
  <c r="AF55" i="1"/>
  <c r="AF139" i="1"/>
  <c r="AF48" i="1"/>
  <c r="AF16" i="1"/>
  <c r="AF22" i="1"/>
  <c r="AG197" i="1"/>
  <c r="AJ197" i="1" s="1"/>
  <c r="AF173" i="1"/>
  <c r="AF174" i="1"/>
  <c r="AF158" i="1"/>
  <c r="AG43" i="1"/>
  <c r="AJ43" i="1" s="1"/>
  <c r="AF129" i="1"/>
  <c r="AF11" i="1"/>
  <c r="AF121" i="1"/>
  <c r="AF122" i="1"/>
  <c r="AF47" i="1"/>
  <c r="AF23" i="1"/>
  <c r="AF131" i="1"/>
  <c r="AF56" i="1"/>
  <c r="AF24" i="1"/>
  <c r="AF46" i="1"/>
  <c r="AF14" i="1"/>
  <c r="AF177" i="1"/>
  <c r="AF59" i="1"/>
  <c r="AF198" i="1"/>
  <c r="AF150" i="1"/>
  <c r="AF134" i="1"/>
  <c r="AF98" i="1"/>
  <c r="AF76" i="1"/>
  <c r="AF192" i="1"/>
  <c r="AF160" i="1"/>
  <c r="AF128" i="1"/>
  <c r="AF90" i="1"/>
  <c r="AF7" i="1"/>
  <c r="AF175" i="1"/>
  <c r="AF143" i="1"/>
  <c r="AF127" i="1"/>
  <c r="AF88" i="1"/>
  <c r="AF67" i="1"/>
  <c r="AF36" i="1"/>
  <c r="AF20" i="1"/>
  <c r="AF4" i="1"/>
  <c r="AF26" i="1"/>
  <c r="AF73" i="1"/>
  <c r="AF57" i="1"/>
  <c r="AF145" i="1"/>
  <c r="AF70" i="1"/>
  <c r="AF201" i="1"/>
  <c r="AF137" i="1"/>
  <c r="AF190" i="1"/>
  <c r="AF142" i="1"/>
  <c r="AF126" i="1"/>
  <c r="AF108" i="1"/>
  <c r="AF63" i="1"/>
  <c r="AF168" i="1"/>
  <c r="AF152" i="1"/>
  <c r="AF136" i="1"/>
  <c r="AF79" i="1"/>
  <c r="AF39" i="1"/>
  <c r="AF199" i="1"/>
  <c r="AF183" i="1"/>
  <c r="AF167" i="1"/>
  <c r="AF135" i="1"/>
  <c r="AF78" i="1"/>
  <c r="AF66" i="1"/>
  <c r="AF113" i="1"/>
  <c r="AF65" i="1"/>
  <c r="AF49" i="1"/>
  <c r="AG2" i="1"/>
  <c r="AJ2" i="1" s="1"/>
  <c r="AG28" i="1" l="1"/>
  <c r="AJ28" i="1" s="1"/>
  <c r="AH5" i="1"/>
  <c r="AI5" i="1" s="1"/>
  <c r="AH50" i="1"/>
  <c r="AI50" i="1" s="1"/>
  <c r="AH149" i="1"/>
  <c r="AI149" i="1" s="1"/>
  <c r="AG97" i="1"/>
  <c r="AJ97" i="1" s="1"/>
  <c r="AH133" i="1"/>
  <c r="AI133" i="1" s="1"/>
  <c r="AH89" i="1"/>
  <c r="AI89" i="1" s="1"/>
  <c r="AG185" i="1"/>
  <c r="AJ185" i="1" s="1"/>
  <c r="AH68" i="1"/>
  <c r="AI68" i="1" s="1"/>
  <c r="AG71" i="1"/>
  <c r="AJ71" i="1" s="1"/>
  <c r="AH107" i="1"/>
  <c r="AI107" i="1" s="1"/>
  <c r="AH27" i="1"/>
  <c r="AI27" i="1" s="1"/>
  <c r="AH17" i="1"/>
  <c r="AI17" i="1" s="1"/>
  <c r="AH25" i="1"/>
  <c r="AI25" i="1" s="1"/>
  <c r="AH60" i="1"/>
  <c r="AI60" i="1" s="1"/>
  <c r="AH44" i="1"/>
  <c r="AI44" i="1" s="1"/>
  <c r="AH94" i="1"/>
  <c r="AI94" i="1" s="1"/>
  <c r="AG34" i="1"/>
  <c r="AJ34" i="1" s="1"/>
  <c r="AH80" i="1"/>
  <c r="AI80" i="1" s="1"/>
  <c r="AH200" i="1"/>
  <c r="AI200" i="1" s="1"/>
  <c r="AG54" i="1"/>
  <c r="AJ54" i="1" s="1"/>
  <c r="AH81" i="1"/>
  <c r="AI81" i="1" s="1"/>
  <c r="AG191" i="1"/>
  <c r="AJ191" i="1" s="1"/>
  <c r="AH151" i="1"/>
  <c r="AI151" i="1" s="1"/>
  <c r="AH31" i="1"/>
  <c r="AI31" i="1" s="1"/>
  <c r="AG182" i="1"/>
  <c r="AJ182" i="1" s="1"/>
  <c r="AG93" i="1"/>
  <c r="AJ93" i="1" s="1"/>
  <c r="AG159" i="1"/>
  <c r="AJ159" i="1" s="1"/>
  <c r="AH100" i="1"/>
  <c r="AI100" i="1" s="1"/>
  <c r="AH38" i="1"/>
  <c r="AI38" i="1" s="1"/>
  <c r="AG12" i="1"/>
  <c r="AJ12" i="1" s="1"/>
  <c r="AH105" i="1"/>
  <c r="AI105" i="1" s="1"/>
  <c r="AG110" i="1"/>
  <c r="AJ110" i="1" s="1"/>
  <c r="AG99" i="1"/>
  <c r="AJ99" i="1" s="1"/>
  <c r="AH35" i="1"/>
  <c r="AI35" i="1" s="1"/>
  <c r="AH51" i="1"/>
  <c r="AI51" i="1" s="1"/>
  <c r="AG132" i="1"/>
  <c r="AJ132" i="1" s="1"/>
  <c r="AG33" i="1"/>
  <c r="AJ33" i="1" s="1"/>
  <c r="AH33" i="1"/>
  <c r="AI33" i="1" s="1"/>
  <c r="AH184" i="1"/>
  <c r="AI184" i="1" s="1"/>
  <c r="AG184" i="1"/>
  <c r="AJ184" i="1" s="1"/>
  <c r="AH41" i="1"/>
  <c r="AI41" i="1" s="1"/>
  <c r="AG64" i="1"/>
  <c r="AJ64" i="1" s="1"/>
  <c r="AH169" i="1"/>
  <c r="AI169" i="1" s="1"/>
  <c r="AH176" i="1"/>
  <c r="AI176" i="1" s="1"/>
  <c r="AG58" i="1"/>
  <c r="AJ58" i="1" s="1"/>
  <c r="AH87" i="1"/>
  <c r="AI87" i="1" s="1"/>
  <c r="AG166" i="1"/>
  <c r="AJ166" i="1" s="1"/>
  <c r="AG3" i="1"/>
  <c r="AJ3" i="1" s="1"/>
  <c r="AH3" i="1"/>
  <c r="AI3" i="1" s="1"/>
  <c r="AG120" i="1"/>
  <c r="AJ120" i="1" s="1"/>
  <c r="AH120" i="1"/>
  <c r="AI120" i="1" s="1"/>
  <c r="AH95" i="1"/>
  <c r="AI95" i="1" s="1"/>
  <c r="AG91" i="1"/>
  <c r="AJ91" i="1" s="1"/>
  <c r="AH109" i="1"/>
  <c r="AI109" i="1" s="1"/>
  <c r="AG144" i="1"/>
  <c r="AJ144" i="1" s="1"/>
  <c r="AH61" i="1"/>
  <c r="AI61" i="1" s="1"/>
  <c r="AG61" i="1"/>
  <c r="AJ61" i="1" s="1"/>
  <c r="AH115" i="1"/>
  <c r="AI115" i="1" s="1"/>
  <c r="AG115" i="1"/>
  <c r="AJ115" i="1" s="1"/>
  <c r="AG164" i="1"/>
  <c r="AJ164" i="1" s="1"/>
  <c r="AH164" i="1"/>
  <c r="AI164" i="1" s="1"/>
  <c r="AH193" i="1"/>
  <c r="AI193" i="1" s="1"/>
  <c r="AG193" i="1"/>
  <c r="AJ193" i="1" s="1"/>
  <c r="AH37" i="1"/>
  <c r="AI37" i="1" s="1"/>
  <c r="AG37" i="1"/>
  <c r="AJ37" i="1" s="1"/>
  <c r="AH32" i="1"/>
  <c r="AI32" i="1" s="1"/>
  <c r="AG32" i="1"/>
  <c r="AJ32" i="1" s="1"/>
  <c r="AG187" i="1"/>
  <c r="AJ187" i="1" s="1"/>
  <c r="AH187" i="1"/>
  <c r="AI187" i="1" s="1"/>
  <c r="AG114" i="1"/>
  <c r="AJ114" i="1" s="1"/>
  <c r="AH114" i="1"/>
  <c r="AI114" i="1" s="1"/>
  <c r="AH189" i="1"/>
  <c r="AI189" i="1" s="1"/>
  <c r="AG189" i="1"/>
  <c r="AJ189" i="1" s="1"/>
  <c r="AG141" i="1"/>
  <c r="AJ141" i="1" s="1"/>
  <c r="AH141" i="1"/>
  <c r="AI141" i="1" s="1"/>
  <c r="AG179" i="1"/>
  <c r="AJ179" i="1" s="1"/>
  <c r="AH179" i="1"/>
  <c r="AI179" i="1" s="1"/>
  <c r="AG111" i="1"/>
  <c r="AJ111" i="1" s="1"/>
  <c r="AH9" i="1"/>
  <c r="AI9" i="1" s="1"/>
  <c r="AH147" i="1"/>
  <c r="AI147" i="1" s="1"/>
  <c r="AG147" i="1"/>
  <c r="AJ147" i="1" s="1"/>
  <c r="AG180" i="1"/>
  <c r="AJ180" i="1" s="1"/>
  <c r="AH180" i="1"/>
  <c r="AI180" i="1" s="1"/>
  <c r="AG117" i="1"/>
  <c r="AJ117" i="1" s="1"/>
  <c r="AH117" i="1"/>
  <c r="AI117" i="1" s="1"/>
  <c r="AH6" i="1"/>
  <c r="AI6" i="1" s="1"/>
  <c r="AG6" i="1"/>
  <c r="AJ6" i="1" s="1"/>
  <c r="AH123" i="1"/>
  <c r="AI123" i="1" s="1"/>
  <c r="AG123" i="1"/>
  <c r="AJ123" i="1" s="1"/>
  <c r="AG172" i="1"/>
  <c r="AJ172" i="1" s="1"/>
  <c r="AH172" i="1"/>
  <c r="AI172" i="1" s="1"/>
  <c r="AH18" i="1"/>
  <c r="AI18" i="1" s="1"/>
  <c r="AG18" i="1"/>
  <c r="AJ18" i="1" s="1"/>
  <c r="AH119" i="1"/>
  <c r="AI119" i="1" s="1"/>
  <c r="AH112" i="1"/>
  <c r="AI112" i="1" s="1"/>
  <c r="AG29" i="1"/>
  <c r="AJ29" i="1" s="1"/>
  <c r="AH29" i="1"/>
  <c r="AI29" i="1" s="1"/>
  <c r="AH30" i="1"/>
  <c r="AI30" i="1" s="1"/>
  <c r="AG30" i="1"/>
  <c r="AJ30" i="1" s="1"/>
  <c r="AH19" i="1"/>
  <c r="AI19" i="1" s="1"/>
  <c r="AG19" i="1"/>
  <c r="AJ19" i="1" s="1"/>
  <c r="AG163" i="1"/>
  <c r="AJ163" i="1" s="1"/>
  <c r="AH163" i="1"/>
  <c r="AI163" i="1" s="1"/>
  <c r="AG116" i="1"/>
  <c r="AJ116" i="1" s="1"/>
  <c r="AH116" i="1"/>
  <c r="AI116" i="1" s="1"/>
  <c r="AG82" i="1"/>
  <c r="AJ82" i="1" s="1"/>
  <c r="AH82" i="1"/>
  <c r="AI82" i="1" s="1"/>
  <c r="AH69" i="1"/>
  <c r="AI69" i="1" s="1"/>
  <c r="AG69" i="1"/>
  <c r="AJ69" i="1" s="1"/>
  <c r="AG155" i="1"/>
  <c r="AJ155" i="1" s="1"/>
  <c r="AH155" i="1"/>
  <c r="AI155" i="1" s="1"/>
  <c r="AH106" i="1"/>
  <c r="AI106" i="1" s="1"/>
  <c r="AG106" i="1"/>
  <c r="AJ106" i="1" s="1"/>
  <c r="AG188" i="1"/>
  <c r="AJ188" i="1" s="1"/>
  <c r="AH188" i="1"/>
  <c r="AI188" i="1" s="1"/>
  <c r="AH162" i="1"/>
  <c r="AI162" i="1" s="1"/>
  <c r="AG162" i="1"/>
  <c r="AJ162" i="1" s="1"/>
  <c r="AG161" i="1"/>
  <c r="AJ161" i="1" s="1"/>
  <c r="AH161" i="1"/>
  <c r="AI161" i="1" s="1"/>
  <c r="AG118" i="1"/>
  <c r="AJ118" i="1" s="1"/>
  <c r="AH118" i="1"/>
  <c r="AI118" i="1" s="1"/>
  <c r="AH8" i="1"/>
  <c r="AI8" i="1" s="1"/>
  <c r="AG8" i="1"/>
  <c r="AJ8" i="1" s="1"/>
  <c r="AH74" i="1"/>
  <c r="AI74" i="1" s="1"/>
  <c r="AG74" i="1"/>
  <c r="AJ74" i="1" s="1"/>
  <c r="AH154" i="1"/>
  <c r="AI154" i="1" s="1"/>
  <c r="AG154" i="1"/>
  <c r="AJ154" i="1" s="1"/>
  <c r="AG101" i="1"/>
  <c r="AJ101" i="1" s="1"/>
  <c r="AH101" i="1"/>
  <c r="AI101" i="1" s="1"/>
  <c r="AH104" i="1"/>
  <c r="AI104" i="1" s="1"/>
  <c r="AG104" i="1"/>
  <c r="AJ104" i="1" s="1"/>
  <c r="AG156" i="1"/>
  <c r="AJ156" i="1" s="1"/>
  <c r="AH156" i="1"/>
  <c r="AI156" i="1" s="1"/>
  <c r="AG194" i="1"/>
  <c r="AJ194" i="1" s="1"/>
  <c r="AH194" i="1"/>
  <c r="AI194" i="1" s="1"/>
  <c r="AG42" i="1"/>
  <c r="AJ42" i="1" s="1"/>
  <c r="AH42" i="1"/>
  <c r="AI42" i="1" s="1"/>
  <c r="AH186" i="1"/>
  <c r="AI186" i="1" s="1"/>
  <c r="AG186" i="1"/>
  <c r="AJ186" i="1" s="1"/>
  <c r="AH13" i="1"/>
  <c r="AI13" i="1" s="1"/>
  <c r="AG13" i="1"/>
  <c r="AJ13" i="1" s="1"/>
  <c r="AG40" i="1"/>
  <c r="AJ40" i="1" s="1"/>
  <c r="AH40" i="1"/>
  <c r="AI40" i="1" s="1"/>
  <c r="AG202" i="1"/>
  <c r="AJ202" i="1" s="1"/>
  <c r="AH202" i="1"/>
  <c r="AI202" i="1" s="1"/>
  <c r="AG53" i="1"/>
  <c r="AJ53" i="1" s="1"/>
  <c r="AH53" i="1"/>
  <c r="AI53" i="1" s="1"/>
  <c r="AH84" i="1"/>
  <c r="AI84" i="1" s="1"/>
  <c r="AG84" i="1"/>
  <c r="AJ84" i="1" s="1"/>
  <c r="AG146" i="1"/>
  <c r="AJ146" i="1" s="1"/>
  <c r="AH146" i="1"/>
  <c r="AI146" i="1" s="1"/>
  <c r="AH52" i="1"/>
  <c r="AI52" i="1" s="1"/>
  <c r="AG52" i="1"/>
  <c r="AJ52" i="1" s="1"/>
  <c r="AH165" i="1"/>
  <c r="AI165" i="1" s="1"/>
  <c r="AH45" i="1"/>
  <c r="AI45" i="1" s="1"/>
  <c r="AG45" i="1"/>
  <c r="AJ45" i="1" s="1"/>
  <c r="AH62" i="1"/>
  <c r="AI62" i="1" s="1"/>
  <c r="AG62" i="1"/>
  <c r="AJ62" i="1" s="1"/>
  <c r="AH72" i="1"/>
  <c r="AI72" i="1" s="1"/>
  <c r="AG72" i="1"/>
  <c r="AJ72" i="1" s="1"/>
  <c r="AH195" i="1"/>
  <c r="AI195" i="1" s="1"/>
  <c r="AG195" i="1"/>
  <c r="AJ195" i="1" s="1"/>
  <c r="AH148" i="1"/>
  <c r="AI148" i="1" s="1"/>
  <c r="AG148" i="1"/>
  <c r="AJ148" i="1" s="1"/>
  <c r="AH138" i="1"/>
  <c r="AI138" i="1" s="1"/>
  <c r="AG138" i="1"/>
  <c r="AJ138" i="1" s="1"/>
  <c r="AH86" i="1"/>
  <c r="AI86" i="1" s="1"/>
  <c r="AG86" i="1"/>
  <c r="AJ86" i="1" s="1"/>
  <c r="AH21" i="1"/>
  <c r="AI21" i="1" s="1"/>
  <c r="AG21" i="1"/>
  <c r="AJ21" i="1" s="1"/>
  <c r="AH85" i="1"/>
  <c r="AI85" i="1" s="1"/>
  <c r="AG85" i="1"/>
  <c r="AJ85" i="1" s="1"/>
  <c r="AH83" i="1"/>
  <c r="AI83" i="1" s="1"/>
  <c r="AG83" i="1"/>
  <c r="AJ83" i="1" s="1"/>
  <c r="AG171" i="1"/>
  <c r="AJ171" i="1" s="1"/>
  <c r="AH171" i="1"/>
  <c r="AI171" i="1" s="1"/>
  <c r="AG124" i="1"/>
  <c r="AJ124" i="1" s="1"/>
  <c r="AH124" i="1"/>
  <c r="AI124" i="1" s="1"/>
  <c r="AH92" i="1"/>
  <c r="AI92" i="1" s="1"/>
  <c r="AG92" i="1"/>
  <c r="AJ92" i="1" s="1"/>
  <c r="AG178" i="1"/>
  <c r="AJ178" i="1" s="1"/>
  <c r="AH178" i="1"/>
  <c r="AI178" i="1" s="1"/>
  <c r="AH125" i="1"/>
  <c r="AI125" i="1" s="1"/>
  <c r="AG125" i="1"/>
  <c r="AJ125" i="1" s="1"/>
  <c r="AG75" i="1"/>
  <c r="AJ75" i="1" s="1"/>
  <c r="AH75" i="1"/>
  <c r="AI75" i="1" s="1"/>
  <c r="AG10" i="1"/>
  <c r="AJ10" i="1" s="1"/>
  <c r="AH10" i="1"/>
  <c r="AI10" i="1" s="1"/>
  <c r="AG77" i="1"/>
  <c r="AJ77" i="1" s="1"/>
  <c r="AH77" i="1"/>
  <c r="AI77" i="1" s="1"/>
  <c r="AG196" i="1"/>
  <c r="AJ196" i="1" s="1"/>
  <c r="AH196" i="1"/>
  <c r="AI196" i="1" s="1"/>
  <c r="AH49" i="1"/>
  <c r="AI49" i="1" s="1"/>
  <c r="AG49" i="1"/>
  <c r="AJ49" i="1" s="1"/>
  <c r="AH199" i="1"/>
  <c r="AI199" i="1" s="1"/>
  <c r="AG199" i="1"/>
  <c r="AJ199" i="1" s="1"/>
  <c r="AG126" i="1"/>
  <c r="AJ126" i="1" s="1"/>
  <c r="AH126" i="1"/>
  <c r="AI126" i="1" s="1"/>
  <c r="AH73" i="1"/>
  <c r="AI73" i="1" s="1"/>
  <c r="AG73" i="1"/>
  <c r="AJ73" i="1" s="1"/>
  <c r="AG143" i="1"/>
  <c r="AJ143" i="1" s="1"/>
  <c r="AH143" i="1"/>
  <c r="AI143" i="1" s="1"/>
  <c r="AG98" i="1"/>
  <c r="AJ98" i="1" s="1"/>
  <c r="AH98" i="1"/>
  <c r="AI98" i="1" s="1"/>
  <c r="AG113" i="1"/>
  <c r="AJ113" i="1" s="1"/>
  <c r="AH113" i="1"/>
  <c r="AI113" i="1" s="1"/>
  <c r="AG167" i="1"/>
  <c r="AJ167" i="1" s="1"/>
  <c r="AH167" i="1"/>
  <c r="AI167" i="1" s="1"/>
  <c r="AG79" i="1"/>
  <c r="AJ79" i="1" s="1"/>
  <c r="AH79" i="1"/>
  <c r="AI79" i="1" s="1"/>
  <c r="AH63" i="1"/>
  <c r="AI63" i="1" s="1"/>
  <c r="AG63" i="1"/>
  <c r="AJ63" i="1" s="1"/>
  <c r="AH190" i="1"/>
  <c r="AI190" i="1" s="1"/>
  <c r="AG190" i="1"/>
  <c r="AJ190" i="1" s="1"/>
  <c r="AG145" i="1"/>
  <c r="AJ145" i="1" s="1"/>
  <c r="AH145" i="1"/>
  <c r="AI145" i="1" s="1"/>
  <c r="AG4" i="1"/>
  <c r="AJ4" i="1" s="1"/>
  <c r="AH4" i="1"/>
  <c r="AI4" i="1" s="1"/>
  <c r="AH88" i="1"/>
  <c r="AI88" i="1" s="1"/>
  <c r="AG88" i="1"/>
  <c r="AJ88" i="1" s="1"/>
  <c r="AG7" i="1"/>
  <c r="AJ7" i="1" s="1"/>
  <c r="AH7" i="1"/>
  <c r="AI7" i="1" s="1"/>
  <c r="AG192" i="1"/>
  <c r="AJ192" i="1" s="1"/>
  <c r="AH192" i="1"/>
  <c r="AI192" i="1" s="1"/>
  <c r="AH150" i="1"/>
  <c r="AI150" i="1" s="1"/>
  <c r="AG150" i="1"/>
  <c r="AJ150" i="1" s="1"/>
  <c r="AG14" i="1"/>
  <c r="AJ14" i="1" s="1"/>
  <c r="AH14" i="1"/>
  <c r="AI14" i="1" s="1"/>
  <c r="AH131" i="1"/>
  <c r="AI131" i="1" s="1"/>
  <c r="AG131" i="1"/>
  <c r="AJ131" i="1" s="1"/>
  <c r="AH121" i="1"/>
  <c r="AI121" i="1" s="1"/>
  <c r="AG121" i="1"/>
  <c r="AJ121" i="1" s="1"/>
  <c r="AG173" i="1"/>
  <c r="AJ173" i="1" s="1"/>
  <c r="AH173" i="1"/>
  <c r="AI173" i="1" s="1"/>
  <c r="AH22" i="1"/>
  <c r="AI22" i="1" s="1"/>
  <c r="AG22" i="1"/>
  <c r="AJ22" i="1" s="1"/>
  <c r="AH55" i="1"/>
  <c r="AI55" i="1" s="1"/>
  <c r="AG55" i="1"/>
  <c r="AJ55" i="1" s="1"/>
  <c r="AH153" i="1"/>
  <c r="AI153" i="1" s="1"/>
  <c r="AG153" i="1"/>
  <c r="AJ153" i="1" s="1"/>
  <c r="AH66" i="1"/>
  <c r="AI66" i="1" s="1"/>
  <c r="AG66" i="1"/>
  <c r="AJ66" i="1" s="1"/>
  <c r="AG183" i="1"/>
  <c r="B45" i="1" s="1"/>
  <c r="B46" i="1" s="1"/>
  <c r="AH183" i="1"/>
  <c r="AI183" i="1" s="1"/>
  <c r="AH136" i="1"/>
  <c r="AI136" i="1" s="1"/>
  <c r="AG136" i="1"/>
  <c r="AJ136" i="1" s="1"/>
  <c r="AG108" i="1"/>
  <c r="AJ108" i="1" s="1"/>
  <c r="AH108" i="1"/>
  <c r="AI108" i="1" s="1"/>
  <c r="AG137" i="1"/>
  <c r="AJ137" i="1" s="1"/>
  <c r="AH137" i="1"/>
  <c r="AI137" i="1" s="1"/>
  <c r="AG57" i="1"/>
  <c r="AJ57" i="1" s="1"/>
  <c r="AH57" i="1"/>
  <c r="AI57" i="1" s="1"/>
  <c r="AG20" i="1"/>
  <c r="AJ20" i="1" s="1"/>
  <c r="AH20" i="1"/>
  <c r="AI20" i="1" s="1"/>
  <c r="AH127" i="1"/>
  <c r="AI127" i="1" s="1"/>
  <c r="AG127" i="1"/>
  <c r="AJ127" i="1" s="1"/>
  <c r="AG90" i="1"/>
  <c r="AJ90" i="1" s="1"/>
  <c r="AH90" i="1"/>
  <c r="AI90" i="1" s="1"/>
  <c r="AH76" i="1"/>
  <c r="AI76" i="1" s="1"/>
  <c r="AG76" i="1"/>
  <c r="AJ76" i="1" s="1"/>
  <c r="AG198" i="1"/>
  <c r="AJ198" i="1" s="1"/>
  <c r="AH198" i="1"/>
  <c r="AI198" i="1" s="1"/>
  <c r="AG46" i="1"/>
  <c r="AJ46" i="1" s="1"/>
  <c r="AH46" i="1"/>
  <c r="AI46" i="1" s="1"/>
  <c r="AH23" i="1"/>
  <c r="AI23" i="1" s="1"/>
  <c r="AG23" i="1"/>
  <c r="AJ23" i="1" s="1"/>
  <c r="AG11" i="1"/>
  <c r="AJ11" i="1" s="1"/>
  <c r="AH11" i="1"/>
  <c r="AI11" i="1" s="1"/>
  <c r="AG16" i="1"/>
  <c r="AJ16" i="1" s="1"/>
  <c r="AH16" i="1"/>
  <c r="AI16" i="1" s="1"/>
  <c r="AH140" i="1"/>
  <c r="AI140" i="1" s="1"/>
  <c r="AG140" i="1"/>
  <c r="AJ140" i="1" s="1"/>
  <c r="AH181" i="1"/>
  <c r="AI181" i="1" s="1"/>
  <c r="AG181" i="1"/>
  <c r="AJ181" i="1" s="1"/>
  <c r="AH78" i="1"/>
  <c r="AI78" i="1" s="1"/>
  <c r="AG78" i="1"/>
  <c r="AJ78" i="1" s="1"/>
  <c r="AG152" i="1"/>
  <c r="AJ152" i="1" s="1"/>
  <c r="AH152" i="1"/>
  <c r="AI152" i="1" s="1"/>
  <c r="AH201" i="1"/>
  <c r="AI201" i="1" s="1"/>
  <c r="AG201" i="1"/>
  <c r="AJ201" i="1" s="1"/>
  <c r="AH36" i="1"/>
  <c r="AI36" i="1" s="1"/>
  <c r="AG36" i="1"/>
  <c r="AJ36" i="1" s="1"/>
  <c r="AG128" i="1"/>
  <c r="AJ128" i="1" s="1"/>
  <c r="AH128" i="1"/>
  <c r="AI128" i="1" s="1"/>
  <c r="AH59" i="1"/>
  <c r="AI59" i="1" s="1"/>
  <c r="AG59" i="1"/>
  <c r="AJ59" i="1" s="1"/>
  <c r="AH47" i="1"/>
  <c r="AI47" i="1" s="1"/>
  <c r="AG47" i="1"/>
  <c r="AJ47" i="1" s="1"/>
  <c r="AH129" i="1"/>
  <c r="AI129" i="1" s="1"/>
  <c r="AG129" i="1"/>
  <c r="AJ129" i="1" s="1"/>
  <c r="AH158" i="1"/>
  <c r="AI158" i="1" s="1"/>
  <c r="AG158" i="1"/>
  <c r="AJ158" i="1" s="1"/>
  <c r="AG48" i="1"/>
  <c r="AJ48" i="1" s="1"/>
  <c r="AH48" i="1"/>
  <c r="AI48" i="1" s="1"/>
  <c r="AG15" i="1"/>
  <c r="AJ15" i="1" s="1"/>
  <c r="AH15" i="1"/>
  <c r="AI15" i="1" s="1"/>
  <c r="AH102" i="1"/>
  <c r="AI102" i="1" s="1"/>
  <c r="AG102" i="1"/>
  <c r="AJ102" i="1" s="1"/>
  <c r="AH65" i="1"/>
  <c r="AI65" i="1" s="1"/>
  <c r="AG65" i="1"/>
  <c r="AJ65" i="1" s="1"/>
  <c r="AG135" i="1"/>
  <c r="AJ135" i="1" s="1"/>
  <c r="AH135" i="1"/>
  <c r="AI135" i="1" s="1"/>
  <c r="AG39" i="1"/>
  <c r="AJ39" i="1" s="1"/>
  <c r="AH39" i="1"/>
  <c r="AI39" i="1" s="1"/>
  <c r="AH168" i="1"/>
  <c r="AI168" i="1" s="1"/>
  <c r="AG168" i="1"/>
  <c r="AJ168" i="1" s="1"/>
  <c r="AH142" i="1"/>
  <c r="AI142" i="1" s="1"/>
  <c r="AG142" i="1"/>
  <c r="AJ142" i="1" s="1"/>
  <c r="AH70" i="1"/>
  <c r="AI70" i="1" s="1"/>
  <c r="AG70" i="1"/>
  <c r="AJ70" i="1" s="1"/>
  <c r="AH26" i="1"/>
  <c r="AI26" i="1" s="1"/>
  <c r="AG26" i="1"/>
  <c r="AJ26" i="1" s="1"/>
  <c r="AH67" i="1"/>
  <c r="AI67" i="1" s="1"/>
  <c r="AG67" i="1"/>
  <c r="AJ67" i="1" s="1"/>
  <c r="AH175" i="1"/>
  <c r="AI175" i="1" s="1"/>
  <c r="AG175" i="1"/>
  <c r="AJ175" i="1" s="1"/>
  <c r="AH160" i="1"/>
  <c r="AI160" i="1" s="1"/>
  <c r="AG160" i="1"/>
  <c r="AJ160" i="1" s="1"/>
  <c r="AH134" i="1"/>
  <c r="AI134" i="1" s="1"/>
  <c r="AG134" i="1"/>
  <c r="AJ134" i="1" s="1"/>
  <c r="AH177" i="1"/>
  <c r="AI177" i="1" s="1"/>
  <c r="AG177" i="1"/>
  <c r="AJ177" i="1" s="1"/>
  <c r="AH56" i="1"/>
  <c r="AI56" i="1" s="1"/>
  <c r="AG56" i="1"/>
  <c r="AJ56" i="1" s="1"/>
  <c r="AH122" i="1"/>
  <c r="AI122" i="1" s="1"/>
  <c r="AG122" i="1"/>
  <c r="AJ122" i="1" s="1"/>
  <c r="AH174" i="1"/>
  <c r="AI174" i="1" s="1"/>
  <c r="AG174" i="1"/>
  <c r="AJ174" i="1" s="1"/>
  <c r="AH139" i="1"/>
  <c r="AI139" i="1" s="1"/>
  <c r="AG139" i="1"/>
  <c r="AJ139" i="1" s="1"/>
  <c r="AH130" i="1"/>
  <c r="AI130" i="1" s="1"/>
  <c r="AG130" i="1"/>
  <c r="AJ130" i="1" s="1"/>
  <c r="AH96" i="1"/>
  <c r="AI96" i="1" s="1"/>
  <c r="AG96" i="1"/>
  <c r="AJ96" i="1" s="1"/>
  <c r="AH24" i="1"/>
  <c r="AI24" i="1" s="1"/>
  <c r="AG24" i="1"/>
  <c r="AJ24" i="1" s="1"/>
  <c r="D46" i="1" l="1"/>
  <c r="B48" i="1"/>
  <c r="D48" i="1" s="1"/>
  <c r="AJ183" i="1"/>
  <c r="B47" i="1" l="1"/>
  <c r="D47" i="1" s="1"/>
  <c r="G19" i="1"/>
  <c r="G18" i="1" l="1"/>
  <c r="G17" i="1" s="1"/>
  <c r="T23" i="1" s="1"/>
  <c r="AL2" i="1" s="1"/>
  <c r="G20" i="1"/>
  <c r="T22" i="1" s="1"/>
  <c r="T24" i="1"/>
  <c r="T25" i="1"/>
  <c r="G16" i="1"/>
  <c r="T21" i="1" s="1"/>
  <c r="AL177" i="1" l="1"/>
  <c r="AL155" i="1"/>
  <c r="AL9" i="1"/>
  <c r="AL109" i="1"/>
  <c r="AL110" i="1"/>
  <c r="AL78" i="1"/>
  <c r="AL4" i="1"/>
  <c r="AL129" i="1"/>
  <c r="AL5" i="1"/>
  <c r="AL61" i="1"/>
  <c r="AL47" i="1"/>
  <c r="AL160" i="1"/>
  <c r="AL14" i="1"/>
  <c r="AL57" i="1"/>
  <c r="AL132" i="1"/>
  <c r="AL46" i="1"/>
  <c r="AL187" i="1"/>
  <c r="AL102" i="1"/>
  <c r="AL97" i="1"/>
  <c r="AL130" i="1"/>
  <c r="AL143" i="1"/>
  <c r="AL16" i="1"/>
  <c r="AL77" i="1"/>
  <c r="AL131" i="1"/>
  <c r="AL191" i="1"/>
  <c r="AL133" i="1"/>
  <c r="AL170" i="1"/>
  <c r="AL141" i="1"/>
  <c r="AL67" i="1"/>
  <c r="AL140" i="1"/>
  <c r="AL44" i="1"/>
  <c r="AL36" i="1"/>
  <c r="AL60" i="1"/>
  <c r="AL171" i="1"/>
  <c r="AL70" i="1"/>
  <c r="AL124" i="1"/>
  <c r="AL19" i="1"/>
  <c r="AL101" i="1"/>
  <c r="AL192" i="1"/>
  <c r="AL71" i="1"/>
  <c r="AL166" i="1"/>
  <c r="AL108" i="1"/>
  <c r="AL182" i="1"/>
  <c r="AL100" i="1"/>
  <c r="AL198" i="1"/>
  <c r="AL136" i="1"/>
  <c r="AL121" i="1"/>
  <c r="AL144" i="1"/>
  <c r="AL8" i="1"/>
  <c r="AL64" i="1"/>
  <c r="AL68" i="1"/>
  <c r="AL123" i="1"/>
  <c r="AL99" i="1"/>
  <c r="AL74" i="1"/>
  <c r="AL13" i="1"/>
  <c r="AL146" i="1"/>
  <c r="AL12" i="1"/>
  <c r="AL50" i="1"/>
  <c r="AL83" i="1"/>
  <c r="AL85" i="1"/>
  <c r="AL94" i="1"/>
  <c r="AL185" i="1"/>
  <c r="AL95" i="1"/>
  <c r="AL117" i="1"/>
  <c r="AL28" i="1"/>
  <c r="AL75" i="1"/>
  <c r="AL178" i="1"/>
  <c r="AL154" i="1"/>
  <c r="AL20" i="1"/>
  <c r="AL51" i="1"/>
  <c r="AL112" i="1"/>
  <c r="AL194" i="1"/>
  <c r="AL52" i="1"/>
  <c r="AL120" i="1"/>
  <c r="AL186" i="1"/>
  <c r="AL179" i="1"/>
  <c r="AL164" i="1"/>
  <c r="AL21" i="1"/>
  <c r="AL49" i="1"/>
  <c r="AL119" i="1"/>
  <c r="AL39" i="1"/>
  <c r="AL62" i="1"/>
  <c r="AL150" i="1"/>
  <c r="AL165" i="1"/>
  <c r="AL169" i="1"/>
  <c r="AL31" i="1"/>
  <c r="AL73" i="1"/>
  <c r="AL195" i="1"/>
  <c r="AL202" i="1"/>
  <c r="AL91" i="1"/>
  <c r="AL153" i="1"/>
  <c r="AL34" i="1"/>
  <c r="AL156" i="1"/>
  <c r="AL11" i="1"/>
  <c r="AL41" i="1"/>
  <c r="AL114" i="1"/>
  <c r="AL135" i="1"/>
  <c r="AL176" i="1"/>
  <c r="AL172" i="1"/>
  <c r="AL42" i="1"/>
  <c r="AL32" i="1"/>
  <c r="AL81" i="1"/>
  <c r="AL76" i="1"/>
  <c r="AL200" i="1"/>
  <c r="AL148" i="1"/>
  <c r="AL54" i="1"/>
  <c r="AL196" i="1"/>
  <c r="AL149" i="1"/>
  <c r="AL167" i="1"/>
  <c r="AL199" i="1"/>
  <c r="AL82" i="1"/>
  <c r="AL151" i="1"/>
  <c r="AL188" i="1"/>
  <c r="AL55" i="1"/>
  <c r="AL125" i="1"/>
  <c r="AL162" i="1"/>
  <c r="AL72" i="1"/>
  <c r="AL115" i="1"/>
  <c r="AL90" i="1"/>
  <c r="AL201" i="1"/>
  <c r="AL80" i="1"/>
  <c r="AL93" i="1"/>
  <c r="AL189" i="1"/>
  <c r="AL122" i="1"/>
  <c r="AL17" i="1"/>
  <c r="AL197" i="1"/>
  <c r="AL128" i="1"/>
  <c r="AL15" i="1"/>
  <c r="AL3" i="1"/>
  <c r="AL152" i="1"/>
  <c r="AL87" i="1"/>
  <c r="AL137" i="1"/>
  <c r="AL159" i="1"/>
  <c r="AL29" i="1"/>
  <c r="AL127" i="1"/>
  <c r="AL107" i="1"/>
  <c r="AL10" i="1"/>
  <c r="AL105" i="1"/>
  <c r="AL6" i="1"/>
  <c r="AL183" i="1"/>
  <c r="AL98" i="1"/>
  <c r="AL113" i="1"/>
  <c r="AL65" i="1"/>
  <c r="AL134" i="1"/>
  <c r="AL43" i="1"/>
  <c r="AL25" i="1"/>
  <c r="AL142" i="1"/>
  <c r="AL180" i="1"/>
  <c r="AL163" i="1"/>
  <c r="AL24" i="1"/>
  <c r="AL23" i="1"/>
  <c r="AL84" i="1"/>
  <c r="AL158" i="1"/>
  <c r="AL56" i="1"/>
  <c r="AL86" i="1"/>
  <c r="AL173" i="1"/>
  <c r="AL193" i="1"/>
  <c r="AL79" i="1"/>
  <c r="AL118" i="1"/>
  <c r="AL7" i="1"/>
  <c r="AL58" i="1"/>
  <c r="AL181" i="1"/>
  <c r="AL35" i="1"/>
  <c r="AL96" i="1"/>
  <c r="AL22" i="1"/>
  <c r="AL53" i="1"/>
  <c r="AL147" i="1"/>
  <c r="AL37" i="1"/>
  <c r="AL26" i="1"/>
  <c r="AL30" i="1"/>
  <c r="AL145" i="1"/>
  <c r="AL111" i="1"/>
  <c r="AL45" i="1"/>
  <c r="AL48" i="1"/>
  <c r="AL168" i="1"/>
  <c r="AL106" i="1"/>
  <c r="AL59" i="1"/>
  <c r="AL174" i="1"/>
  <c r="AL126" i="1"/>
  <c r="AL38" i="1"/>
  <c r="AL27" i="1"/>
  <c r="AL66" i="1"/>
  <c r="AL104" i="1"/>
  <c r="AL18" i="1"/>
  <c r="AL33" i="1"/>
  <c r="AL138" i="1"/>
  <c r="AL103" i="1"/>
  <c r="AL89" i="1"/>
  <c r="AL92" i="1"/>
  <c r="AL175" i="1"/>
  <c r="AL40" i="1"/>
  <c r="AL88" i="1"/>
  <c r="AL116" i="1"/>
  <c r="AL161" i="1"/>
  <c r="AL190" i="1"/>
  <c r="AL63" i="1"/>
  <c r="AL157" i="1"/>
  <c r="AL184" i="1"/>
  <c r="AL139" i="1"/>
  <c r="AL69" i="1"/>
  <c r="AM3" i="1"/>
  <c r="AN3" i="1" s="1"/>
  <c r="AO3" i="1" s="1"/>
  <c r="AR3" i="1" s="1"/>
  <c r="AS3" i="1" s="1"/>
  <c r="AM118" i="1"/>
  <c r="AM98" i="1"/>
  <c r="AM41" i="1"/>
  <c r="AM143" i="1"/>
  <c r="AN143" i="1" s="1"/>
  <c r="AO143" i="1" s="1"/>
  <c r="AR143" i="1" s="1"/>
  <c r="AS143" i="1" s="1"/>
  <c r="AM58" i="1"/>
  <c r="AM24" i="1"/>
  <c r="AM113" i="1"/>
  <c r="AM181" i="1"/>
  <c r="AM147" i="1"/>
  <c r="AM173" i="1"/>
  <c r="AM200" i="1"/>
  <c r="AN200" i="1" s="1"/>
  <c r="AP200" i="1" s="1"/>
  <c r="AQ200" i="1" s="1"/>
  <c r="AT200" i="1" s="1"/>
  <c r="AM73" i="1"/>
  <c r="AM106" i="1"/>
  <c r="AM191" i="1"/>
  <c r="AM187" i="1"/>
  <c r="AM197" i="1"/>
  <c r="AM139" i="1"/>
  <c r="AM25" i="1"/>
  <c r="AM87" i="1"/>
  <c r="AM15" i="1"/>
  <c r="AM31" i="1"/>
  <c r="AN31" i="1" s="1"/>
  <c r="AP31" i="1" s="1"/>
  <c r="AQ31" i="1" s="1"/>
  <c r="AT31" i="1" s="1"/>
  <c r="AM126" i="1"/>
  <c r="AN126" i="1" s="1"/>
  <c r="AP126" i="1" s="1"/>
  <c r="AQ126" i="1" s="1"/>
  <c r="AT126" i="1" s="1"/>
  <c r="AM94" i="1"/>
  <c r="AM149" i="1"/>
  <c r="AM107" i="1"/>
  <c r="AM5" i="1"/>
  <c r="AN5" i="1" s="1"/>
  <c r="AP5" i="1" s="1"/>
  <c r="AQ5" i="1" s="1"/>
  <c r="AT5" i="1" s="1"/>
  <c r="AM104" i="1"/>
  <c r="AM186" i="1"/>
  <c r="AM179" i="1"/>
  <c r="AM18" i="1"/>
  <c r="AM55" i="1"/>
  <c r="AM109" i="1"/>
  <c r="AM101" i="1"/>
  <c r="AN101" i="1" s="1"/>
  <c r="AO101" i="1" s="1"/>
  <c r="AR101" i="1" s="1"/>
  <c r="AS101" i="1" s="1"/>
  <c r="AM148" i="1"/>
  <c r="AN148" i="1" s="1"/>
  <c r="AO148" i="1" s="1"/>
  <c r="AR148" i="1" s="1"/>
  <c r="AS148" i="1" s="1"/>
  <c r="AM172" i="1"/>
  <c r="AM81" i="1"/>
  <c r="AM127" i="1"/>
  <c r="AM132" i="1"/>
  <c r="AN132" i="1" s="1"/>
  <c r="AP132" i="1" s="1"/>
  <c r="AQ132" i="1" s="1"/>
  <c r="AT132" i="1" s="1"/>
  <c r="AM63" i="1"/>
  <c r="AN63" i="1" s="1"/>
  <c r="AP63" i="1" s="1"/>
  <c r="AQ63" i="1" s="1"/>
  <c r="AT63" i="1" s="1"/>
  <c r="AM177" i="1"/>
  <c r="AN177" i="1" s="1"/>
  <c r="AP177" i="1" s="1"/>
  <c r="AQ177" i="1" s="1"/>
  <c r="AT177" i="1" s="1"/>
  <c r="AM116" i="1"/>
  <c r="AM168" i="1"/>
  <c r="AN168" i="1" s="1"/>
  <c r="AP168" i="1" s="1"/>
  <c r="AQ168" i="1" s="1"/>
  <c r="AT168" i="1" s="1"/>
  <c r="AM152" i="1"/>
  <c r="AM201" i="1"/>
  <c r="AM110" i="1"/>
  <c r="AM65" i="1"/>
  <c r="AN65" i="1" s="1"/>
  <c r="AO65" i="1" s="1"/>
  <c r="AR65" i="1" s="1"/>
  <c r="AS65" i="1" s="1"/>
  <c r="AM133" i="1"/>
  <c r="AM193" i="1"/>
  <c r="AN193" i="1" s="1"/>
  <c r="AP193" i="1" s="1"/>
  <c r="AQ193" i="1" s="1"/>
  <c r="AT193" i="1" s="1"/>
  <c r="AM60" i="1"/>
  <c r="AM121" i="1"/>
  <c r="AN121" i="1" s="1"/>
  <c r="AO121" i="1" s="1"/>
  <c r="AR121" i="1" s="1"/>
  <c r="AS121" i="1" s="1"/>
  <c r="AM67" i="1"/>
  <c r="AM54" i="1"/>
  <c r="AM76" i="1"/>
  <c r="AM75" i="1"/>
  <c r="AM7" i="1"/>
  <c r="AN7" i="1" s="1"/>
  <c r="AO7" i="1" s="1"/>
  <c r="AR7" i="1" s="1"/>
  <c r="AS7" i="1" s="1"/>
  <c r="AM51" i="1"/>
  <c r="AM195" i="1"/>
  <c r="AM174" i="1"/>
  <c r="AM175" i="1"/>
  <c r="AM86" i="1"/>
  <c r="AM14" i="1"/>
  <c r="AM137" i="1"/>
  <c r="AM26" i="1"/>
  <c r="AM97" i="1"/>
  <c r="AM36" i="1"/>
  <c r="AM95" i="1"/>
  <c r="AN95" i="1" s="1"/>
  <c r="AP95" i="1" s="1"/>
  <c r="AQ95" i="1" s="1"/>
  <c r="AT95" i="1" s="1"/>
  <c r="AM11" i="1"/>
  <c r="AM62" i="1"/>
  <c r="AM153" i="1"/>
  <c r="AM48" i="1"/>
  <c r="AM42" i="1"/>
  <c r="AN42" i="1" s="1"/>
  <c r="AO42" i="1" s="1"/>
  <c r="AR42" i="1" s="1"/>
  <c r="AS42" i="1" s="1"/>
  <c r="AM140" i="1"/>
  <c r="AM27" i="1"/>
  <c r="AM125" i="1"/>
  <c r="AN125" i="1" s="1"/>
  <c r="AP125" i="1" s="1"/>
  <c r="AQ125" i="1" s="1"/>
  <c r="AT125" i="1" s="1"/>
  <c r="AM180" i="1"/>
  <c r="AN180" i="1" s="1"/>
  <c r="AO180" i="1" s="1"/>
  <c r="AR180" i="1" s="1"/>
  <c r="AS180" i="1" s="1"/>
  <c r="AM53" i="1"/>
  <c r="AM176" i="1"/>
  <c r="AN176" i="1" s="1"/>
  <c r="AP176" i="1" s="1"/>
  <c r="AQ176" i="1" s="1"/>
  <c r="AT176" i="1" s="1"/>
  <c r="AM50" i="1"/>
  <c r="AM49" i="1"/>
  <c r="AM150" i="1"/>
  <c r="AM146" i="1"/>
  <c r="AM39" i="1"/>
  <c r="AN39" i="1" s="1"/>
  <c r="AM79" i="1"/>
  <c r="AM198" i="1"/>
  <c r="AN198" i="1" s="1"/>
  <c r="AP198" i="1" s="1"/>
  <c r="AQ198" i="1" s="1"/>
  <c r="AT198" i="1" s="1"/>
  <c r="AM189" i="1"/>
  <c r="AM162" i="1"/>
  <c r="AM72" i="1"/>
  <c r="AM30" i="1"/>
  <c r="AM196" i="1"/>
  <c r="AM33" i="1"/>
  <c r="AN33" i="1" s="1"/>
  <c r="AP33" i="1" s="1"/>
  <c r="AQ33" i="1" s="1"/>
  <c r="AT33" i="1" s="1"/>
  <c r="AM102" i="1"/>
  <c r="AM142" i="1"/>
  <c r="AM145" i="1"/>
  <c r="AM34" i="1"/>
  <c r="AM96" i="1"/>
  <c r="AN96" i="1" s="1"/>
  <c r="AP96" i="1" s="1"/>
  <c r="AQ96" i="1" s="1"/>
  <c r="AT96" i="1" s="1"/>
  <c r="AM190" i="1"/>
  <c r="AM188" i="1"/>
  <c r="AM160" i="1"/>
  <c r="AM69" i="1"/>
  <c r="AN69" i="1" s="1"/>
  <c r="AP69" i="1" s="1"/>
  <c r="AQ69" i="1" s="1"/>
  <c r="AT69" i="1" s="1"/>
  <c r="AM89" i="1"/>
  <c r="AM170" i="1"/>
  <c r="AM52" i="1"/>
  <c r="AN52" i="1" s="1"/>
  <c r="AP52" i="1" s="1"/>
  <c r="AQ52" i="1" s="1"/>
  <c r="AT52" i="1" s="1"/>
  <c r="AM163" i="1"/>
  <c r="AM45" i="1"/>
  <c r="AN45" i="1" s="1"/>
  <c r="AO45" i="1" s="1"/>
  <c r="AR45" i="1" s="1"/>
  <c r="AS45" i="1" s="1"/>
  <c r="AM141" i="1"/>
  <c r="AM9" i="1"/>
  <c r="AN9" i="1" s="1"/>
  <c r="AO9" i="1" s="1"/>
  <c r="AR9" i="1" s="1"/>
  <c r="AS9" i="1" s="1"/>
  <c r="AM64" i="1"/>
  <c r="AM8" i="1"/>
  <c r="AN8" i="1" s="1"/>
  <c r="AM103" i="1"/>
  <c r="AM114" i="1"/>
  <c r="AM20" i="1"/>
  <c r="AM183" i="1"/>
  <c r="AM155" i="1"/>
  <c r="AM194" i="1"/>
  <c r="AM4" i="1"/>
  <c r="AM157" i="1"/>
  <c r="AN157" i="1" s="1"/>
  <c r="AM77" i="1"/>
  <c r="AM37" i="1"/>
  <c r="AM159" i="1"/>
  <c r="AM28" i="1"/>
  <c r="AN28" i="1" s="1"/>
  <c r="AM192" i="1"/>
  <c r="AM119" i="1"/>
  <c r="AM12" i="1"/>
  <c r="AM131" i="1"/>
  <c r="AM10" i="1"/>
  <c r="AM167" i="1"/>
  <c r="AN167" i="1" s="1"/>
  <c r="AO167" i="1" s="1"/>
  <c r="AR167" i="1" s="1"/>
  <c r="AS167" i="1" s="1"/>
  <c r="AM21" i="1"/>
  <c r="AM99" i="1"/>
  <c r="AN99" i="1" s="1"/>
  <c r="AO99" i="1" s="1"/>
  <c r="AR99" i="1" s="1"/>
  <c r="AS99" i="1" s="1"/>
  <c r="AM35" i="1"/>
  <c r="AM91" i="1"/>
  <c r="AM129" i="1"/>
  <c r="AN129" i="1" s="1"/>
  <c r="AP129" i="1" s="1"/>
  <c r="AQ129" i="1" s="1"/>
  <c r="AT129" i="1" s="1"/>
  <c r="AM161" i="1"/>
  <c r="AM13" i="1"/>
  <c r="AM184" i="1"/>
  <c r="AM124" i="1"/>
  <c r="AN124" i="1" s="1"/>
  <c r="AP124" i="1" s="1"/>
  <c r="AQ124" i="1" s="1"/>
  <c r="AT124" i="1" s="1"/>
  <c r="AM115" i="1"/>
  <c r="AM158" i="1"/>
  <c r="AM68" i="1"/>
  <c r="AN68" i="1" s="1"/>
  <c r="AP68" i="1" s="1"/>
  <c r="AQ68" i="1" s="1"/>
  <c r="AT68" i="1" s="1"/>
  <c r="AM169" i="1"/>
  <c r="AM92" i="1"/>
  <c r="AN92" i="1" s="1"/>
  <c r="AM74" i="1"/>
  <c r="AN74" i="1" s="1"/>
  <c r="AO74" i="1" s="1"/>
  <c r="AR74" i="1" s="1"/>
  <c r="AS74" i="1" s="1"/>
  <c r="AM182" i="1"/>
  <c r="AN182" i="1" s="1"/>
  <c r="AO182" i="1" s="1"/>
  <c r="AR182" i="1" s="1"/>
  <c r="AS182" i="1" s="1"/>
  <c r="AM123" i="1"/>
  <c r="AN123" i="1" s="1"/>
  <c r="AP123" i="1" s="1"/>
  <c r="AQ123" i="1" s="1"/>
  <c r="AT123" i="1" s="1"/>
  <c r="AM156" i="1"/>
  <c r="AN156" i="1" s="1"/>
  <c r="AM40" i="1"/>
  <c r="AM80" i="1"/>
  <c r="AN80" i="1" s="1"/>
  <c r="AM105" i="1"/>
  <c r="AM122" i="1"/>
  <c r="AM29" i="1"/>
  <c r="AN29" i="1" s="1"/>
  <c r="AP29" i="1" s="1"/>
  <c r="AQ29" i="1" s="1"/>
  <c r="AT29" i="1" s="1"/>
  <c r="AM90" i="1"/>
  <c r="AN90" i="1" s="1"/>
  <c r="AO90" i="1" s="1"/>
  <c r="AR90" i="1" s="1"/>
  <c r="AS90" i="1" s="1"/>
  <c r="AM85" i="1"/>
  <c r="AN85" i="1" s="1"/>
  <c r="AO85" i="1" s="1"/>
  <c r="AR85" i="1" s="1"/>
  <c r="AS85" i="1" s="1"/>
  <c r="AM57" i="1"/>
  <c r="AM84" i="1"/>
  <c r="AM154" i="1"/>
  <c r="AM171" i="1"/>
  <c r="AM144" i="1"/>
  <c r="AM2" i="1"/>
  <c r="AN2" i="1" s="1"/>
  <c r="AM199" i="1"/>
  <c r="AM202" i="1"/>
  <c r="AM130" i="1"/>
  <c r="AM22" i="1"/>
  <c r="AM117" i="1"/>
  <c r="AM100" i="1"/>
  <c r="AN100" i="1" s="1"/>
  <c r="AO100" i="1" s="1"/>
  <c r="AR100" i="1" s="1"/>
  <c r="AS100" i="1" s="1"/>
  <c r="AM23" i="1"/>
  <c r="AM78" i="1"/>
  <c r="AN78" i="1" s="1"/>
  <c r="AO78" i="1" s="1"/>
  <c r="AR78" i="1" s="1"/>
  <c r="AS78" i="1" s="1"/>
  <c r="AM178" i="1"/>
  <c r="AN178" i="1" s="1"/>
  <c r="AP178" i="1" s="1"/>
  <c r="AQ178" i="1" s="1"/>
  <c r="AT178" i="1" s="1"/>
  <c r="AM164" i="1"/>
  <c r="AM136" i="1"/>
  <c r="AM43" i="1"/>
  <c r="AM44" i="1"/>
  <c r="AN44" i="1" s="1"/>
  <c r="AM70" i="1"/>
  <c r="AM185" i="1"/>
  <c r="AM93" i="1"/>
  <c r="AN93" i="1" s="1"/>
  <c r="AO93" i="1" s="1"/>
  <c r="AR93" i="1" s="1"/>
  <c r="AS93" i="1" s="1"/>
  <c r="AM128" i="1"/>
  <c r="AN128" i="1" s="1"/>
  <c r="AO128" i="1" s="1"/>
  <c r="AR128" i="1" s="1"/>
  <c r="AS128" i="1" s="1"/>
  <c r="AM32" i="1"/>
  <c r="AM47" i="1"/>
  <c r="AM46" i="1"/>
  <c r="AM66" i="1"/>
  <c r="AM71" i="1"/>
  <c r="AN71" i="1" s="1"/>
  <c r="AO71" i="1" s="1"/>
  <c r="AR71" i="1" s="1"/>
  <c r="AS71" i="1" s="1"/>
  <c r="AM61" i="1"/>
  <c r="AM56" i="1"/>
  <c r="AN56" i="1" s="1"/>
  <c r="AO56" i="1" s="1"/>
  <c r="AR56" i="1" s="1"/>
  <c r="AS56" i="1" s="1"/>
  <c r="AM138" i="1"/>
  <c r="AM166" i="1"/>
  <c r="AM88" i="1"/>
  <c r="AM112" i="1"/>
  <c r="AM108" i="1"/>
  <c r="AM111" i="1"/>
  <c r="AN111" i="1" s="1"/>
  <c r="AP111" i="1" s="1"/>
  <c r="AQ111" i="1" s="1"/>
  <c r="AT111" i="1" s="1"/>
  <c r="AM6" i="1"/>
  <c r="AM16" i="1"/>
  <c r="AN16" i="1" s="1"/>
  <c r="AO16" i="1" s="1"/>
  <c r="AR16" i="1" s="1"/>
  <c r="AS16" i="1" s="1"/>
  <c r="AM135" i="1"/>
  <c r="AN135" i="1" s="1"/>
  <c r="AM59" i="1"/>
  <c r="AM120" i="1"/>
  <c r="AM17" i="1"/>
  <c r="AM83" i="1"/>
  <c r="AN83" i="1" s="1"/>
  <c r="AM151" i="1"/>
  <c r="AN151" i="1" s="1"/>
  <c r="AP151" i="1" s="1"/>
  <c r="AQ151" i="1" s="1"/>
  <c r="AT151" i="1" s="1"/>
  <c r="AM38" i="1"/>
  <c r="AM19" i="1"/>
  <c r="AM134" i="1"/>
  <c r="AM82" i="1"/>
  <c r="AM165" i="1"/>
  <c r="AN155" i="1"/>
  <c r="AO155" i="1" s="1"/>
  <c r="AR155" i="1" s="1"/>
  <c r="AS155" i="1" s="1"/>
  <c r="AN191" i="1" l="1"/>
  <c r="AO191" i="1" s="1"/>
  <c r="AR191" i="1" s="1"/>
  <c r="AS191" i="1" s="1"/>
  <c r="AN47" i="1"/>
  <c r="AO47" i="1" s="1"/>
  <c r="AR47" i="1" s="1"/>
  <c r="AS47" i="1" s="1"/>
  <c r="AN97" i="1"/>
  <c r="AP97" i="1" s="1"/>
  <c r="AQ97" i="1" s="1"/>
  <c r="AT97" i="1" s="1"/>
  <c r="AN109" i="1"/>
  <c r="AO109" i="1" s="1"/>
  <c r="AR109" i="1" s="1"/>
  <c r="AS109" i="1" s="1"/>
  <c r="AN46" i="1"/>
  <c r="AO46" i="1" s="1"/>
  <c r="AR46" i="1" s="1"/>
  <c r="AS46" i="1" s="1"/>
  <c r="AN141" i="1"/>
  <c r="AO141" i="1" s="1"/>
  <c r="AR141" i="1" s="1"/>
  <c r="AS141" i="1" s="1"/>
  <c r="AN36" i="1"/>
  <c r="AO36" i="1" s="1"/>
  <c r="AR36" i="1" s="1"/>
  <c r="AS36" i="1" s="1"/>
  <c r="AN82" i="1"/>
  <c r="AP82" i="1" s="1"/>
  <c r="AQ82" i="1" s="1"/>
  <c r="AT82" i="1" s="1"/>
  <c r="AN59" i="1"/>
  <c r="AP59" i="1" s="1"/>
  <c r="AQ59" i="1" s="1"/>
  <c r="AT59" i="1" s="1"/>
  <c r="AN166" i="1"/>
  <c r="AO166" i="1" s="1"/>
  <c r="AR166" i="1" s="1"/>
  <c r="AS166" i="1" s="1"/>
  <c r="AN32" i="1"/>
  <c r="AO32" i="1" s="1"/>
  <c r="AR32" i="1" s="1"/>
  <c r="AS32" i="1" s="1"/>
  <c r="AN70" i="1"/>
  <c r="AP70" i="1" s="1"/>
  <c r="AQ70" i="1" s="1"/>
  <c r="AT70" i="1" s="1"/>
  <c r="AN164" i="1"/>
  <c r="AP164" i="1" s="1"/>
  <c r="AQ164" i="1" s="1"/>
  <c r="AT164" i="1" s="1"/>
  <c r="AN202" i="1"/>
  <c r="AP202" i="1" s="1"/>
  <c r="AQ202" i="1" s="1"/>
  <c r="AT202" i="1" s="1"/>
  <c r="AN169" i="1"/>
  <c r="AO169" i="1" s="1"/>
  <c r="AR169" i="1" s="1"/>
  <c r="AS169" i="1" s="1"/>
  <c r="AN12" i="1"/>
  <c r="AO12" i="1" s="1"/>
  <c r="AR12" i="1" s="1"/>
  <c r="AS12" i="1" s="1"/>
  <c r="AN159" i="1"/>
  <c r="AO159" i="1" s="1"/>
  <c r="AR159" i="1" s="1"/>
  <c r="AS159" i="1" s="1"/>
  <c r="AN4" i="1"/>
  <c r="AP4" i="1" s="1"/>
  <c r="AQ4" i="1" s="1"/>
  <c r="AT4" i="1" s="1"/>
  <c r="AN20" i="1"/>
  <c r="AP20" i="1" s="1"/>
  <c r="AQ20" i="1" s="1"/>
  <c r="AT20" i="1" s="1"/>
  <c r="AN163" i="1"/>
  <c r="AP163" i="1" s="1"/>
  <c r="AQ163" i="1" s="1"/>
  <c r="AT163" i="1" s="1"/>
  <c r="AN72" i="1"/>
  <c r="AP72" i="1" s="1"/>
  <c r="AQ72" i="1" s="1"/>
  <c r="AT72" i="1" s="1"/>
  <c r="AN49" i="1"/>
  <c r="AP49" i="1" s="1"/>
  <c r="AQ49" i="1" s="1"/>
  <c r="AT49" i="1" s="1"/>
  <c r="AN26" i="1"/>
  <c r="AO26" i="1" s="1"/>
  <c r="AR26" i="1" s="1"/>
  <c r="AS26" i="1" s="1"/>
  <c r="AN67" i="1"/>
  <c r="AP67" i="1" s="1"/>
  <c r="AQ67" i="1" s="1"/>
  <c r="AT67" i="1" s="1"/>
  <c r="AN172" i="1"/>
  <c r="AO172" i="1" s="1"/>
  <c r="AR172" i="1" s="1"/>
  <c r="AS172" i="1" s="1"/>
  <c r="AN104" i="1"/>
  <c r="AO104" i="1" s="1"/>
  <c r="AR104" i="1" s="1"/>
  <c r="AS104" i="1" s="1"/>
  <c r="AN94" i="1"/>
  <c r="AO94" i="1" s="1"/>
  <c r="AR94" i="1" s="1"/>
  <c r="AS94" i="1" s="1"/>
  <c r="AN87" i="1"/>
  <c r="AO87" i="1" s="1"/>
  <c r="AR87" i="1" s="1"/>
  <c r="AS87" i="1" s="1"/>
  <c r="AN187" i="1"/>
  <c r="AP187" i="1" s="1"/>
  <c r="AQ187" i="1" s="1"/>
  <c r="AT187" i="1" s="1"/>
  <c r="AN41" i="1"/>
  <c r="AO41" i="1" s="1"/>
  <c r="AR41" i="1" s="1"/>
  <c r="AS41" i="1" s="1"/>
  <c r="AN19" i="1"/>
  <c r="AO19" i="1" s="1"/>
  <c r="AR19" i="1" s="1"/>
  <c r="AS19" i="1" s="1"/>
  <c r="AN17" i="1"/>
  <c r="AP17" i="1" s="1"/>
  <c r="AQ17" i="1" s="1"/>
  <c r="AT17" i="1" s="1"/>
  <c r="AN43" i="1"/>
  <c r="AP43" i="1" s="1"/>
  <c r="AQ43" i="1" s="1"/>
  <c r="AT43" i="1" s="1"/>
  <c r="AN22" i="1"/>
  <c r="AP22" i="1" s="1"/>
  <c r="AQ22" i="1" s="1"/>
  <c r="AT22" i="1" s="1"/>
  <c r="AN158" i="1"/>
  <c r="AO158" i="1" s="1"/>
  <c r="AR158" i="1" s="1"/>
  <c r="AS158" i="1" s="1"/>
  <c r="AN10" i="1"/>
  <c r="AO10" i="1" s="1"/>
  <c r="AR10" i="1" s="1"/>
  <c r="AS10" i="1" s="1"/>
  <c r="AN77" i="1"/>
  <c r="AO77" i="1" s="1"/>
  <c r="AR77" i="1" s="1"/>
  <c r="AS77" i="1" s="1"/>
  <c r="AN170" i="1"/>
  <c r="AP170" i="1" s="1"/>
  <c r="AQ170" i="1" s="1"/>
  <c r="AT170" i="1" s="1"/>
  <c r="AN188" i="1"/>
  <c r="AO188" i="1" s="1"/>
  <c r="AR188" i="1" s="1"/>
  <c r="AS188" i="1" s="1"/>
  <c r="AN27" i="1"/>
  <c r="AP27" i="1" s="1"/>
  <c r="AQ27" i="1" s="1"/>
  <c r="AT27" i="1" s="1"/>
  <c r="AN14" i="1"/>
  <c r="AO14" i="1" s="1"/>
  <c r="AR14" i="1" s="1"/>
  <c r="AS14" i="1" s="1"/>
  <c r="AN60" i="1"/>
  <c r="AP60" i="1" s="1"/>
  <c r="AQ60" i="1" s="1"/>
  <c r="AT60" i="1" s="1"/>
  <c r="AN110" i="1"/>
  <c r="AO110" i="1" s="1"/>
  <c r="AR110" i="1" s="1"/>
  <c r="AS110" i="1" s="1"/>
  <c r="AN116" i="1"/>
  <c r="AP116" i="1" s="1"/>
  <c r="AQ116" i="1" s="1"/>
  <c r="AT116" i="1" s="1"/>
  <c r="AN58" i="1"/>
  <c r="AO58" i="1" s="1"/>
  <c r="AR58" i="1" s="1"/>
  <c r="AS58" i="1" s="1"/>
  <c r="AN171" i="1"/>
  <c r="AO171" i="1" s="1"/>
  <c r="AR171" i="1" s="1"/>
  <c r="AS171" i="1" s="1"/>
  <c r="AN105" i="1"/>
  <c r="AP105" i="1" s="1"/>
  <c r="AQ105" i="1" s="1"/>
  <c r="AT105" i="1" s="1"/>
  <c r="AN21" i="1"/>
  <c r="AO21" i="1" s="1"/>
  <c r="AR21" i="1" s="1"/>
  <c r="AS21" i="1" s="1"/>
  <c r="AN64" i="1"/>
  <c r="AP64" i="1" s="1"/>
  <c r="AQ64" i="1" s="1"/>
  <c r="AT64" i="1" s="1"/>
  <c r="AN102" i="1"/>
  <c r="AP102" i="1" s="1"/>
  <c r="AQ102" i="1" s="1"/>
  <c r="AT102" i="1" s="1"/>
  <c r="AN79" i="1"/>
  <c r="AP79" i="1" s="1"/>
  <c r="AQ79" i="1" s="1"/>
  <c r="AT79" i="1" s="1"/>
  <c r="AN11" i="1"/>
  <c r="AO11" i="1" s="1"/>
  <c r="AR11" i="1" s="1"/>
  <c r="AS11" i="1" s="1"/>
  <c r="AN175" i="1"/>
  <c r="AP175" i="1" s="1"/>
  <c r="AQ175" i="1" s="1"/>
  <c r="AT175" i="1" s="1"/>
  <c r="AN133" i="1"/>
  <c r="AP133" i="1" s="1"/>
  <c r="AQ133" i="1" s="1"/>
  <c r="AT133" i="1" s="1"/>
  <c r="AN152" i="1"/>
  <c r="AO152" i="1" s="1"/>
  <c r="AR152" i="1" s="1"/>
  <c r="AS152" i="1" s="1"/>
  <c r="AN55" i="1"/>
  <c r="AO55" i="1" s="1"/>
  <c r="AR55" i="1" s="1"/>
  <c r="AS55" i="1" s="1"/>
  <c r="AN113" i="1"/>
  <c r="AO113" i="1" s="1"/>
  <c r="AR113" i="1" s="1"/>
  <c r="AS113" i="1" s="1"/>
  <c r="AN98" i="1"/>
  <c r="AO98" i="1" s="1"/>
  <c r="AR98" i="1" s="1"/>
  <c r="AS98" i="1" s="1"/>
  <c r="AN160" i="1"/>
  <c r="AO160" i="1" s="1"/>
  <c r="AR160" i="1" s="1"/>
  <c r="AS160" i="1" s="1"/>
  <c r="AN61" i="1"/>
  <c r="AP61" i="1" s="1"/>
  <c r="AQ61" i="1" s="1"/>
  <c r="AT61" i="1" s="1"/>
  <c r="AN130" i="1"/>
  <c r="AO130" i="1" s="1"/>
  <c r="AR130" i="1" s="1"/>
  <c r="AS130" i="1" s="1"/>
  <c r="AN57" i="1"/>
  <c r="AO57" i="1" s="1"/>
  <c r="AR57" i="1" s="1"/>
  <c r="AS57" i="1" s="1"/>
  <c r="AN131" i="1"/>
  <c r="AP131" i="1" s="1"/>
  <c r="AQ131" i="1" s="1"/>
  <c r="AT131" i="1" s="1"/>
  <c r="AN140" i="1"/>
  <c r="AO140" i="1" s="1"/>
  <c r="AR140" i="1" s="1"/>
  <c r="AS140" i="1" s="1"/>
  <c r="AN112" i="1"/>
  <c r="AO112" i="1" s="1"/>
  <c r="AR112" i="1" s="1"/>
  <c r="AS112" i="1" s="1"/>
  <c r="AN6" i="1"/>
  <c r="AP6" i="1" s="1"/>
  <c r="AQ6" i="1" s="1"/>
  <c r="AT6" i="1" s="1"/>
  <c r="AN23" i="1"/>
  <c r="AO23" i="1" s="1"/>
  <c r="AR23" i="1" s="1"/>
  <c r="AS23" i="1" s="1"/>
  <c r="AN190" i="1"/>
  <c r="AP190" i="1" s="1"/>
  <c r="AQ190" i="1" s="1"/>
  <c r="AT190" i="1" s="1"/>
  <c r="AN142" i="1"/>
  <c r="AO142" i="1" s="1"/>
  <c r="AR142" i="1" s="1"/>
  <c r="AS142" i="1" s="1"/>
  <c r="AN150" i="1"/>
  <c r="AO150" i="1" s="1"/>
  <c r="AR150" i="1" s="1"/>
  <c r="AS150" i="1" s="1"/>
  <c r="AN86" i="1"/>
  <c r="AP86" i="1" s="1"/>
  <c r="AQ86" i="1" s="1"/>
  <c r="AT86" i="1" s="1"/>
  <c r="AN186" i="1"/>
  <c r="AP186" i="1" s="1"/>
  <c r="AQ186" i="1" s="1"/>
  <c r="AT186" i="1" s="1"/>
  <c r="AN73" i="1"/>
  <c r="AP73" i="1" s="1"/>
  <c r="AQ73" i="1" s="1"/>
  <c r="AT73" i="1" s="1"/>
  <c r="AN84" i="1"/>
  <c r="AO84" i="1" s="1"/>
  <c r="AR84" i="1" s="1"/>
  <c r="AS84" i="1" s="1"/>
  <c r="AN40" i="1"/>
  <c r="AP40" i="1" s="1"/>
  <c r="AQ40" i="1" s="1"/>
  <c r="AT40" i="1" s="1"/>
  <c r="AN13" i="1"/>
  <c r="AO13" i="1" s="1"/>
  <c r="AR13" i="1" s="1"/>
  <c r="AS13" i="1" s="1"/>
  <c r="AN35" i="1"/>
  <c r="AO35" i="1" s="1"/>
  <c r="AR35" i="1" s="1"/>
  <c r="AS35" i="1" s="1"/>
  <c r="AN192" i="1"/>
  <c r="AP192" i="1" s="1"/>
  <c r="AQ192" i="1" s="1"/>
  <c r="AT192" i="1" s="1"/>
  <c r="AN103" i="1"/>
  <c r="AO103" i="1" s="1"/>
  <c r="AR103" i="1" s="1"/>
  <c r="AS103" i="1" s="1"/>
  <c r="AN145" i="1"/>
  <c r="AO145" i="1" s="1"/>
  <c r="AR145" i="1" s="1"/>
  <c r="AS145" i="1" s="1"/>
  <c r="AN196" i="1"/>
  <c r="AO196" i="1" s="1"/>
  <c r="AR196" i="1" s="1"/>
  <c r="AS196" i="1" s="1"/>
  <c r="AN189" i="1"/>
  <c r="AO189" i="1" s="1"/>
  <c r="AR189" i="1" s="1"/>
  <c r="AS189" i="1" s="1"/>
  <c r="AN146" i="1"/>
  <c r="AP146" i="1" s="1"/>
  <c r="AQ146" i="1" s="1"/>
  <c r="AT146" i="1" s="1"/>
  <c r="AN153" i="1"/>
  <c r="AP153" i="1" s="1"/>
  <c r="AQ153" i="1" s="1"/>
  <c r="AT153" i="1" s="1"/>
  <c r="AN195" i="1"/>
  <c r="AO195" i="1" s="1"/>
  <c r="AR195" i="1" s="1"/>
  <c r="AS195" i="1" s="1"/>
  <c r="AN76" i="1"/>
  <c r="AP76" i="1" s="1"/>
  <c r="AQ76" i="1" s="1"/>
  <c r="AT76" i="1" s="1"/>
  <c r="AN127" i="1"/>
  <c r="AO127" i="1" s="1"/>
  <c r="AR127" i="1" s="1"/>
  <c r="AS127" i="1" s="1"/>
  <c r="AN179" i="1"/>
  <c r="AP179" i="1" s="1"/>
  <c r="AQ179" i="1" s="1"/>
  <c r="AT179" i="1" s="1"/>
  <c r="AN107" i="1"/>
  <c r="AO107" i="1" s="1"/>
  <c r="AR107" i="1" s="1"/>
  <c r="AS107" i="1" s="1"/>
  <c r="AN139" i="1"/>
  <c r="AO139" i="1" s="1"/>
  <c r="AR139" i="1" s="1"/>
  <c r="AS139" i="1" s="1"/>
  <c r="AN106" i="1"/>
  <c r="AP106" i="1" s="1"/>
  <c r="AQ106" i="1" s="1"/>
  <c r="AT106" i="1" s="1"/>
  <c r="AN147" i="1"/>
  <c r="AP147" i="1" s="1"/>
  <c r="AQ147" i="1" s="1"/>
  <c r="AT147" i="1" s="1"/>
  <c r="AN118" i="1"/>
  <c r="AP118" i="1" s="1"/>
  <c r="AQ118" i="1" s="1"/>
  <c r="AT118" i="1" s="1"/>
  <c r="AN165" i="1"/>
  <c r="AP165" i="1" s="1"/>
  <c r="AQ165" i="1" s="1"/>
  <c r="AT165" i="1" s="1"/>
  <c r="AN38" i="1"/>
  <c r="AP38" i="1" s="1"/>
  <c r="AQ38" i="1" s="1"/>
  <c r="AT38" i="1" s="1"/>
  <c r="AN120" i="1"/>
  <c r="AO120" i="1" s="1"/>
  <c r="AR120" i="1" s="1"/>
  <c r="AS120" i="1" s="1"/>
  <c r="AN88" i="1"/>
  <c r="AO88" i="1" s="1"/>
  <c r="AR88" i="1" s="1"/>
  <c r="AS88" i="1" s="1"/>
  <c r="AN185" i="1"/>
  <c r="AP185" i="1" s="1"/>
  <c r="AQ185" i="1" s="1"/>
  <c r="AT185" i="1" s="1"/>
  <c r="AN136" i="1"/>
  <c r="AP136" i="1" s="1"/>
  <c r="AQ136" i="1" s="1"/>
  <c r="AT136" i="1" s="1"/>
  <c r="AN144" i="1"/>
  <c r="AP144" i="1" s="1"/>
  <c r="AQ144" i="1" s="1"/>
  <c r="AT144" i="1" s="1"/>
  <c r="AN122" i="1"/>
  <c r="AO122" i="1" s="1"/>
  <c r="AR122" i="1" s="1"/>
  <c r="AS122" i="1" s="1"/>
  <c r="AN115" i="1"/>
  <c r="AO115" i="1" s="1"/>
  <c r="AR115" i="1" s="1"/>
  <c r="AS115" i="1" s="1"/>
  <c r="AN161" i="1"/>
  <c r="AO161" i="1" s="1"/>
  <c r="AR161" i="1" s="1"/>
  <c r="AS161" i="1" s="1"/>
  <c r="AN183" i="1"/>
  <c r="AO183" i="1" s="1"/>
  <c r="AR183" i="1" s="1"/>
  <c r="AS183" i="1" s="1"/>
  <c r="AN89" i="1"/>
  <c r="AO89" i="1" s="1"/>
  <c r="AR89" i="1" s="1"/>
  <c r="AS89" i="1" s="1"/>
  <c r="AN30" i="1"/>
  <c r="AP30" i="1" s="1"/>
  <c r="AQ30" i="1" s="1"/>
  <c r="AT30" i="1" s="1"/>
  <c r="AN53" i="1"/>
  <c r="AO53" i="1" s="1"/>
  <c r="AR53" i="1" s="1"/>
  <c r="AS53" i="1" s="1"/>
  <c r="AN62" i="1"/>
  <c r="AO62" i="1" s="1"/>
  <c r="AR62" i="1" s="1"/>
  <c r="AS62" i="1" s="1"/>
  <c r="AN51" i="1"/>
  <c r="AO51" i="1" s="1"/>
  <c r="AR51" i="1" s="1"/>
  <c r="AS51" i="1" s="1"/>
  <c r="AN54" i="1"/>
  <c r="AO54" i="1" s="1"/>
  <c r="AR54" i="1" s="1"/>
  <c r="AS54" i="1" s="1"/>
  <c r="AN201" i="1"/>
  <c r="AP201" i="1" s="1"/>
  <c r="AQ201" i="1" s="1"/>
  <c r="AT201" i="1" s="1"/>
  <c r="AN81" i="1"/>
  <c r="AP81" i="1" s="1"/>
  <c r="AQ81" i="1" s="1"/>
  <c r="AT81" i="1" s="1"/>
  <c r="AN149" i="1"/>
  <c r="AO149" i="1" s="1"/>
  <c r="AR149" i="1" s="1"/>
  <c r="AS149" i="1" s="1"/>
  <c r="AN15" i="1"/>
  <c r="AP15" i="1" s="1"/>
  <c r="AQ15" i="1" s="1"/>
  <c r="AT15" i="1" s="1"/>
  <c r="AN197" i="1"/>
  <c r="AP197" i="1" s="1"/>
  <c r="AQ197" i="1" s="1"/>
  <c r="AT197" i="1" s="1"/>
  <c r="AN181" i="1"/>
  <c r="AO181" i="1" s="1"/>
  <c r="AR181" i="1" s="1"/>
  <c r="AS181" i="1" s="1"/>
  <c r="AN134" i="1"/>
  <c r="AP134" i="1" s="1"/>
  <c r="AQ134" i="1" s="1"/>
  <c r="AT134" i="1" s="1"/>
  <c r="AN108" i="1"/>
  <c r="AO108" i="1" s="1"/>
  <c r="AR108" i="1" s="1"/>
  <c r="AS108" i="1" s="1"/>
  <c r="AN138" i="1"/>
  <c r="AO138" i="1" s="1"/>
  <c r="AR138" i="1" s="1"/>
  <c r="AS138" i="1" s="1"/>
  <c r="AN66" i="1"/>
  <c r="AO66" i="1" s="1"/>
  <c r="AR66" i="1" s="1"/>
  <c r="AS66" i="1" s="1"/>
  <c r="AN117" i="1"/>
  <c r="AO117" i="1" s="1"/>
  <c r="AR117" i="1" s="1"/>
  <c r="AS117" i="1" s="1"/>
  <c r="AN199" i="1"/>
  <c r="AP199" i="1" s="1"/>
  <c r="AQ199" i="1" s="1"/>
  <c r="AT199" i="1" s="1"/>
  <c r="AN154" i="1"/>
  <c r="AO154" i="1" s="1"/>
  <c r="AR154" i="1" s="1"/>
  <c r="AS154" i="1" s="1"/>
  <c r="AN184" i="1"/>
  <c r="AP184" i="1" s="1"/>
  <c r="AQ184" i="1" s="1"/>
  <c r="AT184" i="1" s="1"/>
  <c r="AN91" i="1"/>
  <c r="AO91" i="1" s="1"/>
  <c r="AR91" i="1" s="1"/>
  <c r="AS91" i="1" s="1"/>
  <c r="AN119" i="1"/>
  <c r="AP119" i="1" s="1"/>
  <c r="AQ119" i="1" s="1"/>
  <c r="AT119" i="1" s="1"/>
  <c r="AN37" i="1"/>
  <c r="AO37" i="1" s="1"/>
  <c r="AR37" i="1" s="1"/>
  <c r="AS37" i="1" s="1"/>
  <c r="AN194" i="1"/>
  <c r="AP194" i="1" s="1"/>
  <c r="AQ194" i="1" s="1"/>
  <c r="AT194" i="1" s="1"/>
  <c r="AN114" i="1"/>
  <c r="AP114" i="1" s="1"/>
  <c r="AQ114" i="1" s="1"/>
  <c r="AT114" i="1" s="1"/>
  <c r="AN34" i="1"/>
  <c r="AO34" i="1" s="1"/>
  <c r="AR34" i="1" s="1"/>
  <c r="AS34" i="1" s="1"/>
  <c r="AN162" i="1"/>
  <c r="AP162" i="1" s="1"/>
  <c r="AQ162" i="1" s="1"/>
  <c r="AT162" i="1" s="1"/>
  <c r="AN50" i="1"/>
  <c r="AO50" i="1" s="1"/>
  <c r="AR50" i="1" s="1"/>
  <c r="AS50" i="1" s="1"/>
  <c r="AN48" i="1"/>
  <c r="AO48" i="1" s="1"/>
  <c r="AR48" i="1" s="1"/>
  <c r="AS48" i="1" s="1"/>
  <c r="AN137" i="1"/>
  <c r="AO137" i="1" s="1"/>
  <c r="AR137" i="1" s="1"/>
  <c r="AS137" i="1" s="1"/>
  <c r="AN174" i="1"/>
  <c r="AO174" i="1" s="1"/>
  <c r="AR174" i="1" s="1"/>
  <c r="AS174" i="1" s="1"/>
  <c r="AN75" i="1"/>
  <c r="AO75" i="1" s="1"/>
  <c r="AR75" i="1" s="1"/>
  <c r="AS75" i="1" s="1"/>
  <c r="AN18" i="1"/>
  <c r="AO18" i="1" s="1"/>
  <c r="AR18" i="1" s="1"/>
  <c r="AS18" i="1" s="1"/>
  <c r="AN25" i="1"/>
  <c r="AP25" i="1" s="1"/>
  <c r="AQ25" i="1" s="1"/>
  <c r="AT25" i="1" s="1"/>
  <c r="AN173" i="1"/>
  <c r="AO173" i="1" s="1"/>
  <c r="AR173" i="1" s="1"/>
  <c r="AS173" i="1" s="1"/>
  <c r="AN24" i="1"/>
  <c r="AO24" i="1" s="1"/>
  <c r="AR24" i="1" s="1"/>
  <c r="AS24" i="1" s="1"/>
  <c r="AO96" i="1"/>
  <c r="AR96" i="1" s="1"/>
  <c r="AS96" i="1" s="1"/>
  <c r="AP143" i="1"/>
  <c r="AQ143" i="1" s="1"/>
  <c r="AT143" i="1" s="1"/>
  <c r="AP180" i="1"/>
  <c r="AQ180" i="1" s="1"/>
  <c r="AT180" i="1" s="1"/>
  <c r="AO31" i="1"/>
  <c r="AR31" i="1" s="1"/>
  <c r="AS31" i="1" s="1"/>
  <c r="AP7" i="1"/>
  <c r="AQ7" i="1" s="1"/>
  <c r="AT7" i="1" s="1"/>
  <c r="AO176" i="1"/>
  <c r="AR176" i="1" s="1"/>
  <c r="AS176" i="1" s="1"/>
  <c r="AP155" i="1"/>
  <c r="AQ155" i="1" s="1"/>
  <c r="AT155" i="1" s="1"/>
  <c r="AO163" i="1"/>
  <c r="AR163" i="1" s="1"/>
  <c r="AS163" i="1" s="1"/>
  <c r="AP56" i="1"/>
  <c r="AQ56" i="1" s="1"/>
  <c r="AT56" i="1" s="1"/>
  <c r="AO5" i="1"/>
  <c r="AR5" i="1" s="1"/>
  <c r="AS5" i="1" s="1"/>
  <c r="AP101" i="1"/>
  <c r="AQ101" i="1" s="1"/>
  <c r="AT101" i="1" s="1"/>
  <c r="AP3" i="1"/>
  <c r="AQ3" i="1" s="1"/>
  <c r="AT3" i="1" s="1"/>
  <c r="AP100" i="1"/>
  <c r="AQ100" i="1" s="1"/>
  <c r="AT100" i="1" s="1"/>
  <c r="AP157" i="1"/>
  <c r="AQ157" i="1" s="1"/>
  <c r="AT157" i="1" s="1"/>
  <c r="AO157" i="1"/>
  <c r="AR157" i="1" s="1"/>
  <c r="AS157" i="1" s="1"/>
  <c r="AO190" i="1"/>
  <c r="AR190" i="1" s="1"/>
  <c r="AS190" i="1" s="1"/>
  <c r="AO83" i="1"/>
  <c r="AR83" i="1" s="1"/>
  <c r="AS83" i="1" s="1"/>
  <c r="AP83" i="1"/>
  <c r="AQ83" i="1" s="1"/>
  <c r="AT83" i="1" s="1"/>
  <c r="AO135" i="1"/>
  <c r="AR135" i="1" s="1"/>
  <c r="AS135" i="1" s="1"/>
  <c r="AP135" i="1"/>
  <c r="AQ135" i="1" s="1"/>
  <c r="AT135" i="1" s="1"/>
  <c r="AP44" i="1"/>
  <c r="AQ44" i="1" s="1"/>
  <c r="AT44" i="1" s="1"/>
  <c r="AO44" i="1"/>
  <c r="AR44" i="1" s="1"/>
  <c r="AS44" i="1" s="1"/>
  <c r="AO80" i="1"/>
  <c r="AR80" i="1" s="1"/>
  <c r="AS80" i="1" s="1"/>
  <c r="AP80" i="1"/>
  <c r="AQ80" i="1" s="1"/>
  <c r="AT80" i="1" s="1"/>
  <c r="AP92" i="1"/>
  <c r="AQ92" i="1" s="1"/>
  <c r="AT92" i="1" s="1"/>
  <c r="AO92" i="1"/>
  <c r="AR92" i="1" s="1"/>
  <c r="AS92" i="1" s="1"/>
  <c r="AO8" i="1"/>
  <c r="AR8" i="1" s="1"/>
  <c r="AS8" i="1" s="1"/>
  <c r="AP8" i="1"/>
  <c r="AQ8" i="1" s="1"/>
  <c r="AT8" i="1" s="1"/>
  <c r="AP148" i="1"/>
  <c r="AQ148" i="1" s="1"/>
  <c r="AT148" i="1" s="1"/>
  <c r="AP71" i="1"/>
  <c r="AQ71" i="1" s="1"/>
  <c r="AT71" i="1" s="1"/>
  <c r="AO63" i="1"/>
  <c r="AR63" i="1" s="1"/>
  <c r="AS63" i="1" s="1"/>
  <c r="AP182" i="1"/>
  <c r="AQ182" i="1" s="1"/>
  <c r="AT182" i="1" s="1"/>
  <c r="AO68" i="1"/>
  <c r="AR68" i="1" s="1"/>
  <c r="AS68" i="1" s="1"/>
  <c r="AO52" i="1"/>
  <c r="AR52" i="1" s="1"/>
  <c r="AS52" i="1" s="1"/>
  <c r="AP167" i="1"/>
  <c r="AQ167" i="1" s="1"/>
  <c r="AT167" i="1" s="1"/>
  <c r="AP93" i="1"/>
  <c r="AQ93" i="1" s="1"/>
  <c r="AT93" i="1" s="1"/>
  <c r="AP78" i="1"/>
  <c r="AQ78" i="1" s="1"/>
  <c r="AT78" i="1" s="1"/>
  <c r="AP121" i="1"/>
  <c r="AQ121" i="1" s="1"/>
  <c r="AT121" i="1" s="1"/>
  <c r="AO198" i="1"/>
  <c r="AR198" i="1" s="1"/>
  <c r="AS198" i="1" s="1"/>
  <c r="AP16" i="1"/>
  <c r="AQ16" i="1" s="1"/>
  <c r="AT16" i="1" s="1"/>
  <c r="AP9" i="1"/>
  <c r="AQ9" i="1" s="1"/>
  <c r="AT9" i="1" s="1"/>
  <c r="AO124" i="1"/>
  <c r="AR124" i="1" s="1"/>
  <c r="AS124" i="1" s="1"/>
  <c r="AO69" i="1"/>
  <c r="AR69" i="1" s="1"/>
  <c r="AS69" i="1" s="1"/>
  <c r="AP90" i="1"/>
  <c r="AQ90" i="1" s="1"/>
  <c r="AT90" i="1" s="1"/>
  <c r="AP65" i="1"/>
  <c r="AQ65" i="1" s="1"/>
  <c r="AT65" i="1" s="1"/>
  <c r="AO123" i="1"/>
  <c r="AR123" i="1" s="1"/>
  <c r="AS123" i="1" s="1"/>
  <c r="AO168" i="1"/>
  <c r="AR168" i="1" s="1"/>
  <c r="AS168" i="1" s="1"/>
  <c r="AO111" i="1"/>
  <c r="AR111" i="1" s="1"/>
  <c r="AS111" i="1" s="1"/>
  <c r="AO193" i="1"/>
  <c r="AR193" i="1" s="1"/>
  <c r="AS193" i="1" s="1"/>
  <c r="AO95" i="1"/>
  <c r="AR95" i="1" s="1"/>
  <c r="AS95" i="1" s="1"/>
  <c r="AO178" i="1"/>
  <c r="AR178" i="1" s="1"/>
  <c r="AS178" i="1" s="1"/>
  <c r="AP74" i="1"/>
  <c r="AQ74" i="1" s="1"/>
  <c r="AT74" i="1" s="1"/>
  <c r="AP99" i="1"/>
  <c r="AQ99" i="1" s="1"/>
  <c r="AT99" i="1" s="1"/>
  <c r="AO200" i="1"/>
  <c r="AR200" i="1" s="1"/>
  <c r="AS200" i="1" s="1"/>
  <c r="AO125" i="1"/>
  <c r="AR125" i="1" s="1"/>
  <c r="AS125" i="1" s="1"/>
  <c r="AO129" i="1"/>
  <c r="AR129" i="1" s="1"/>
  <c r="AS129" i="1" s="1"/>
  <c r="AO29" i="1"/>
  <c r="AR29" i="1" s="1"/>
  <c r="AS29" i="1" s="1"/>
  <c r="AO132" i="1"/>
  <c r="AR132" i="1" s="1"/>
  <c r="AS132" i="1" s="1"/>
  <c r="AO151" i="1"/>
  <c r="AR151" i="1" s="1"/>
  <c r="AS151" i="1" s="1"/>
  <c r="AO126" i="1"/>
  <c r="AR126" i="1" s="1"/>
  <c r="AS126" i="1" s="1"/>
  <c r="AO177" i="1"/>
  <c r="AR177" i="1" s="1"/>
  <c r="AS177" i="1" s="1"/>
  <c r="AP128" i="1"/>
  <c r="AQ128" i="1" s="1"/>
  <c r="AT128" i="1" s="1"/>
  <c r="AP45" i="1"/>
  <c r="AQ45" i="1" s="1"/>
  <c r="AT45" i="1" s="1"/>
  <c r="AP42" i="1"/>
  <c r="AQ42" i="1" s="1"/>
  <c r="AT42" i="1" s="1"/>
  <c r="AP85" i="1"/>
  <c r="AQ85" i="1" s="1"/>
  <c r="AT85" i="1" s="1"/>
  <c r="AO33" i="1"/>
  <c r="AR33" i="1" s="1"/>
  <c r="AS33" i="1" s="1"/>
  <c r="AP39" i="1"/>
  <c r="AQ39" i="1" s="1"/>
  <c r="AT39" i="1" s="1"/>
  <c r="AO39" i="1"/>
  <c r="AR39" i="1" s="1"/>
  <c r="AS39" i="1" s="1"/>
  <c r="AO156" i="1"/>
  <c r="AR156" i="1" s="1"/>
  <c r="AS156" i="1" s="1"/>
  <c r="AP156" i="1"/>
  <c r="AQ156" i="1" s="1"/>
  <c r="AT156" i="1" s="1"/>
  <c r="AP2" i="1"/>
  <c r="AQ2" i="1" s="1"/>
  <c r="AT2" i="1" s="1"/>
  <c r="AO2" i="1"/>
  <c r="AR2" i="1" s="1"/>
  <c r="AS2" i="1" s="1"/>
  <c r="AP28" i="1"/>
  <c r="AQ28" i="1" s="1"/>
  <c r="AT28" i="1" s="1"/>
  <c r="AO28" i="1"/>
  <c r="AR28" i="1" s="1"/>
  <c r="AS28" i="1" s="1"/>
  <c r="AP191" i="1" l="1"/>
  <c r="AQ191" i="1" s="1"/>
  <c r="AT191" i="1" s="1"/>
  <c r="AP141" i="1"/>
  <c r="AQ141" i="1" s="1"/>
  <c r="AT141" i="1" s="1"/>
  <c r="AP47" i="1"/>
  <c r="AQ47" i="1" s="1"/>
  <c r="AT47" i="1" s="1"/>
  <c r="AP66" i="1"/>
  <c r="AQ66" i="1" s="1"/>
  <c r="AT66" i="1" s="1"/>
  <c r="AP10" i="1"/>
  <c r="AQ10" i="1" s="1"/>
  <c r="AT10" i="1" s="1"/>
  <c r="AP12" i="1"/>
  <c r="AQ12" i="1" s="1"/>
  <c r="AT12" i="1" s="1"/>
  <c r="AO116" i="1"/>
  <c r="AR116" i="1" s="1"/>
  <c r="AS116" i="1" s="1"/>
  <c r="AO79" i="1"/>
  <c r="AR79" i="1" s="1"/>
  <c r="AS79" i="1" s="1"/>
  <c r="AO67" i="1"/>
  <c r="AR67" i="1" s="1"/>
  <c r="AS67" i="1" s="1"/>
  <c r="AP87" i="1"/>
  <c r="AQ87" i="1" s="1"/>
  <c r="AT87" i="1" s="1"/>
  <c r="AO17" i="1"/>
  <c r="AR17" i="1" s="1"/>
  <c r="AS17" i="1" s="1"/>
  <c r="AO82" i="1"/>
  <c r="AR82" i="1" s="1"/>
  <c r="AS82" i="1" s="1"/>
  <c r="AP11" i="1"/>
  <c r="AQ11" i="1" s="1"/>
  <c r="AT11" i="1" s="1"/>
  <c r="AP109" i="1"/>
  <c r="AQ109" i="1" s="1"/>
  <c r="AT109" i="1" s="1"/>
  <c r="AO27" i="1"/>
  <c r="AR27" i="1" s="1"/>
  <c r="AS27" i="1" s="1"/>
  <c r="AO70" i="1"/>
  <c r="AR70" i="1" s="1"/>
  <c r="AS70" i="1" s="1"/>
  <c r="AO133" i="1"/>
  <c r="AR133" i="1" s="1"/>
  <c r="AS133" i="1" s="1"/>
  <c r="AP55" i="1"/>
  <c r="AQ55" i="1" s="1"/>
  <c r="AT55" i="1" s="1"/>
  <c r="AO97" i="1"/>
  <c r="AR97" i="1" s="1"/>
  <c r="AS97" i="1" s="1"/>
  <c r="AP36" i="1"/>
  <c r="AQ36" i="1" s="1"/>
  <c r="AT36" i="1" s="1"/>
  <c r="AP46" i="1"/>
  <c r="AQ46" i="1" s="1"/>
  <c r="AT46" i="1" s="1"/>
  <c r="AO6" i="1"/>
  <c r="AR6" i="1" s="1"/>
  <c r="AS6" i="1" s="1"/>
  <c r="AO164" i="1"/>
  <c r="AR164" i="1" s="1"/>
  <c r="AS164" i="1" s="1"/>
  <c r="AP172" i="1"/>
  <c r="AQ172" i="1" s="1"/>
  <c r="AT172" i="1" s="1"/>
  <c r="AP159" i="1"/>
  <c r="AQ159" i="1" s="1"/>
  <c r="AT159" i="1" s="1"/>
  <c r="AP122" i="1"/>
  <c r="AQ122" i="1" s="1"/>
  <c r="AT122" i="1" s="1"/>
  <c r="AP195" i="1"/>
  <c r="AQ195" i="1" s="1"/>
  <c r="AT195" i="1" s="1"/>
  <c r="AP108" i="1"/>
  <c r="AQ108" i="1" s="1"/>
  <c r="AT108" i="1" s="1"/>
  <c r="AO20" i="1"/>
  <c r="AR20" i="1" s="1"/>
  <c r="AS20" i="1" s="1"/>
  <c r="AP158" i="1"/>
  <c r="AQ158" i="1" s="1"/>
  <c r="AT158" i="1" s="1"/>
  <c r="AO22" i="1"/>
  <c r="AR22" i="1" s="1"/>
  <c r="AS22" i="1" s="1"/>
  <c r="AO202" i="1"/>
  <c r="AR202" i="1" s="1"/>
  <c r="AS202" i="1" s="1"/>
  <c r="AP150" i="1"/>
  <c r="AQ150" i="1" s="1"/>
  <c r="AT150" i="1" s="1"/>
  <c r="AP41" i="1"/>
  <c r="AQ41" i="1" s="1"/>
  <c r="AT41" i="1" s="1"/>
  <c r="AO119" i="1"/>
  <c r="AR119" i="1" s="1"/>
  <c r="AS119" i="1" s="1"/>
  <c r="AO60" i="1"/>
  <c r="AR60" i="1" s="1"/>
  <c r="AS60" i="1" s="1"/>
  <c r="AO170" i="1"/>
  <c r="AR170" i="1" s="1"/>
  <c r="AS170" i="1" s="1"/>
  <c r="AO192" i="1"/>
  <c r="AR192" i="1" s="1"/>
  <c r="AS192" i="1" s="1"/>
  <c r="AO105" i="1"/>
  <c r="AR105" i="1" s="1"/>
  <c r="AS105" i="1" s="1"/>
  <c r="AP77" i="1"/>
  <c r="AQ77" i="1" s="1"/>
  <c r="AT77" i="1" s="1"/>
  <c r="AO59" i="1"/>
  <c r="AR59" i="1" s="1"/>
  <c r="AS59" i="1" s="1"/>
  <c r="AO72" i="1"/>
  <c r="AR72" i="1" s="1"/>
  <c r="AS72" i="1" s="1"/>
  <c r="AO43" i="1"/>
  <c r="AR43" i="1" s="1"/>
  <c r="AS43" i="1" s="1"/>
  <c r="AP160" i="1"/>
  <c r="AQ160" i="1" s="1"/>
  <c r="AT160" i="1" s="1"/>
  <c r="AP58" i="1"/>
  <c r="AQ58" i="1" s="1"/>
  <c r="AT58" i="1" s="1"/>
  <c r="AP48" i="1"/>
  <c r="AQ48" i="1" s="1"/>
  <c r="AT48" i="1" s="1"/>
  <c r="AP14" i="1"/>
  <c r="AQ14" i="1" s="1"/>
  <c r="AT14" i="1" s="1"/>
  <c r="AO106" i="1"/>
  <c r="AR106" i="1" s="1"/>
  <c r="AS106" i="1" s="1"/>
  <c r="AO187" i="1"/>
  <c r="AR187" i="1" s="1"/>
  <c r="AS187" i="1" s="1"/>
  <c r="AP19" i="1"/>
  <c r="AQ19" i="1" s="1"/>
  <c r="AT19" i="1" s="1"/>
  <c r="AO131" i="1"/>
  <c r="AR131" i="1" s="1"/>
  <c r="AS131" i="1" s="1"/>
  <c r="AP84" i="1"/>
  <c r="AQ84" i="1" s="1"/>
  <c r="AT84" i="1" s="1"/>
  <c r="AP98" i="1"/>
  <c r="AQ98" i="1" s="1"/>
  <c r="AT98" i="1" s="1"/>
  <c r="AP110" i="1"/>
  <c r="AQ110" i="1" s="1"/>
  <c r="AT110" i="1" s="1"/>
  <c r="AP26" i="1"/>
  <c r="AQ26" i="1" s="1"/>
  <c r="AT26" i="1" s="1"/>
  <c r="AO49" i="1"/>
  <c r="AR49" i="1" s="1"/>
  <c r="AS49" i="1" s="1"/>
  <c r="AP139" i="1"/>
  <c r="AQ139" i="1" s="1"/>
  <c r="AT139" i="1" s="1"/>
  <c r="AP32" i="1"/>
  <c r="AQ32" i="1" s="1"/>
  <c r="AT32" i="1" s="1"/>
  <c r="AO4" i="1"/>
  <c r="AR4" i="1" s="1"/>
  <c r="AS4" i="1" s="1"/>
  <c r="AP152" i="1"/>
  <c r="AQ152" i="1" s="1"/>
  <c r="AT152" i="1" s="1"/>
  <c r="AP94" i="1"/>
  <c r="AQ94" i="1" s="1"/>
  <c r="AT94" i="1" s="1"/>
  <c r="AP169" i="1"/>
  <c r="AQ169" i="1" s="1"/>
  <c r="AT169" i="1" s="1"/>
  <c r="AO102" i="1"/>
  <c r="AR102" i="1" s="1"/>
  <c r="AS102" i="1" s="1"/>
  <c r="AP104" i="1"/>
  <c r="AQ104" i="1" s="1"/>
  <c r="AT104" i="1" s="1"/>
  <c r="AP166" i="1"/>
  <c r="AQ166" i="1" s="1"/>
  <c r="AT166" i="1" s="1"/>
  <c r="AP37" i="1"/>
  <c r="AQ37" i="1" s="1"/>
  <c r="AT37" i="1" s="1"/>
  <c r="AO165" i="1"/>
  <c r="AR165" i="1" s="1"/>
  <c r="AS165" i="1" s="1"/>
  <c r="AP171" i="1"/>
  <c r="AQ171" i="1" s="1"/>
  <c r="AT171" i="1" s="1"/>
  <c r="AP188" i="1"/>
  <c r="AQ188" i="1" s="1"/>
  <c r="AT188" i="1" s="1"/>
  <c r="AP196" i="1"/>
  <c r="AQ196" i="1" s="1"/>
  <c r="AT196" i="1" s="1"/>
  <c r="AO114" i="1"/>
  <c r="AR114" i="1" s="1"/>
  <c r="AS114" i="1" s="1"/>
  <c r="AP51" i="1"/>
  <c r="AQ51" i="1" s="1"/>
  <c r="AT51" i="1" s="1"/>
  <c r="AO73" i="1"/>
  <c r="AR73" i="1" s="1"/>
  <c r="AS73" i="1" s="1"/>
  <c r="AP21" i="1"/>
  <c r="AQ21" i="1" s="1"/>
  <c r="AT21" i="1" s="1"/>
  <c r="AP145" i="1"/>
  <c r="AQ145" i="1" s="1"/>
  <c r="AT145" i="1" s="1"/>
  <c r="AP107" i="1"/>
  <c r="AQ107" i="1" s="1"/>
  <c r="AT107" i="1" s="1"/>
  <c r="AP120" i="1"/>
  <c r="AQ120" i="1" s="1"/>
  <c r="AT120" i="1" s="1"/>
  <c r="AP91" i="1"/>
  <c r="AQ91" i="1" s="1"/>
  <c r="AT91" i="1" s="1"/>
  <c r="AP113" i="1"/>
  <c r="AQ113" i="1" s="1"/>
  <c r="AT113" i="1" s="1"/>
  <c r="AO175" i="1"/>
  <c r="AR175" i="1" s="1"/>
  <c r="AS175" i="1" s="1"/>
  <c r="AO64" i="1"/>
  <c r="AR64" i="1" s="1"/>
  <c r="AS64" i="1" s="1"/>
  <c r="AP142" i="1"/>
  <c r="AQ142" i="1" s="1"/>
  <c r="AT142" i="1" s="1"/>
  <c r="AP140" i="1"/>
  <c r="AQ140" i="1" s="1"/>
  <c r="AT140" i="1" s="1"/>
  <c r="AP62" i="1"/>
  <c r="AQ62" i="1" s="1"/>
  <c r="AT62" i="1" s="1"/>
  <c r="AP149" i="1"/>
  <c r="AQ149" i="1" s="1"/>
  <c r="AT149" i="1" s="1"/>
  <c r="AO61" i="1"/>
  <c r="AR61" i="1" s="1"/>
  <c r="AS61" i="1" s="1"/>
  <c r="AP117" i="1"/>
  <c r="AQ117" i="1" s="1"/>
  <c r="AT117" i="1" s="1"/>
  <c r="AO118" i="1"/>
  <c r="AR118" i="1" s="1"/>
  <c r="AS118" i="1" s="1"/>
  <c r="AO134" i="1"/>
  <c r="AR134" i="1" s="1"/>
  <c r="AS134" i="1" s="1"/>
  <c r="AP130" i="1"/>
  <c r="AQ130" i="1" s="1"/>
  <c r="AT130" i="1" s="1"/>
  <c r="AP24" i="1"/>
  <c r="AQ24" i="1" s="1"/>
  <c r="AT24" i="1" s="1"/>
  <c r="AO199" i="1"/>
  <c r="AR199" i="1" s="1"/>
  <c r="AS199" i="1" s="1"/>
  <c r="AO185" i="1"/>
  <c r="AR185" i="1" s="1"/>
  <c r="AS185" i="1" s="1"/>
  <c r="AP189" i="1"/>
  <c r="AQ189" i="1" s="1"/>
  <c r="AT189" i="1" s="1"/>
  <c r="AO30" i="1"/>
  <c r="AR30" i="1" s="1"/>
  <c r="AS30" i="1" s="1"/>
  <c r="AP34" i="1"/>
  <c r="AQ34" i="1" s="1"/>
  <c r="AT34" i="1" s="1"/>
  <c r="AO15" i="1"/>
  <c r="AR15" i="1" s="1"/>
  <c r="AS15" i="1" s="1"/>
  <c r="AP23" i="1"/>
  <c r="AQ23" i="1" s="1"/>
  <c r="AT23" i="1" s="1"/>
  <c r="AP18" i="1"/>
  <c r="AQ18" i="1" s="1"/>
  <c r="AT18" i="1" s="1"/>
  <c r="AO146" i="1"/>
  <c r="AR146" i="1" s="1"/>
  <c r="AS146" i="1" s="1"/>
  <c r="AP103" i="1"/>
  <c r="AQ103" i="1" s="1"/>
  <c r="AT103" i="1" s="1"/>
  <c r="AO76" i="1"/>
  <c r="AR76" i="1" s="1"/>
  <c r="AS76" i="1" s="1"/>
  <c r="AP137" i="1"/>
  <c r="AQ137" i="1" s="1"/>
  <c r="AT137" i="1" s="1"/>
  <c r="AP112" i="1"/>
  <c r="AQ112" i="1" s="1"/>
  <c r="AT112" i="1" s="1"/>
  <c r="AO25" i="1"/>
  <c r="AR25" i="1" s="1"/>
  <c r="AS25" i="1" s="1"/>
  <c r="AP57" i="1"/>
  <c r="AQ57" i="1" s="1"/>
  <c r="AT57" i="1" s="1"/>
  <c r="AP35" i="1"/>
  <c r="AQ35" i="1" s="1"/>
  <c r="AT35" i="1" s="1"/>
  <c r="AP127" i="1"/>
  <c r="AQ127" i="1" s="1"/>
  <c r="AT127" i="1" s="1"/>
  <c r="AP54" i="1"/>
  <c r="AQ54" i="1" s="1"/>
  <c r="AT54" i="1" s="1"/>
  <c r="AP115" i="1"/>
  <c r="AQ115" i="1" s="1"/>
  <c r="AT115" i="1" s="1"/>
  <c r="AO186" i="1"/>
  <c r="AR186" i="1" s="1"/>
  <c r="AS186" i="1" s="1"/>
  <c r="AO153" i="1"/>
  <c r="AR153" i="1" s="1"/>
  <c r="AS153" i="1" s="1"/>
  <c r="AP13" i="1"/>
  <c r="AQ13" i="1" s="1"/>
  <c r="AT13" i="1" s="1"/>
  <c r="AO81" i="1"/>
  <c r="AR81" i="1" s="1"/>
  <c r="AS81" i="1" s="1"/>
  <c r="AO144" i="1"/>
  <c r="AR144" i="1" s="1"/>
  <c r="AS144" i="1" s="1"/>
  <c r="AO197" i="1"/>
  <c r="AR197" i="1" s="1"/>
  <c r="AS197" i="1" s="1"/>
  <c r="AO86" i="1"/>
  <c r="AR86" i="1" s="1"/>
  <c r="AS86" i="1" s="1"/>
  <c r="AP50" i="1"/>
  <c r="AQ50" i="1" s="1"/>
  <c r="AT50" i="1" s="1"/>
  <c r="AO184" i="1"/>
  <c r="AR184" i="1" s="1"/>
  <c r="AS184" i="1" s="1"/>
  <c r="AP183" i="1"/>
  <c r="AQ183" i="1" s="1"/>
  <c r="AT183" i="1" s="1"/>
  <c r="AO147" i="1"/>
  <c r="AR147" i="1" s="1"/>
  <c r="AS147" i="1" s="1"/>
  <c r="AP154" i="1"/>
  <c r="AQ154" i="1" s="1"/>
  <c r="AT154" i="1" s="1"/>
  <c r="AP75" i="1"/>
  <c r="AQ75" i="1" s="1"/>
  <c r="AT75" i="1" s="1"/>
  <c r="AP174" i="1"/>
  <c r="AQ174" i="1" s="1"/>
  <c r="AT174" i="1" s="1"/>
  <c r="AO194" i="1"/>
  <c r="AR194" i="1" s="1"/>
  <c r="AS194" i="1" s="1"/>
  <c r="AP181" i="1"/>
  <c r="AQ181" i="1" s="1"/>
  <c r="AT181" i="1" s="1"/>
  <c r="AO40" i="1"/>
  <c r="AR40" i="1" s="1"/>
  <c r="AS40" i="1" s="1"/>
  <c r="AO179" i="1"/>
  <c r="AR179" i="1" s="1"/>
  <c r="AS179" i="1" s="1"/>
  <c r="AO136" i="1"/>
  <c r="AR136" i="1" s="1"/>
  <c r="AS136" i="1" s="1"/>
  <c r="AP89" i="1"/>
  <c r="AQ89" i="1" s="1"/>
  <c r="AT89" i="1" s="1"/>
  <c r="AO38" i="1"/>
  <c r="AR38" i="1" s="1"/>
  <c r="AS38" i="1" s="1"/>
  <c r="AP53" i="1"/>
  <c r="AQ53" i="1" s="1"/>
  <c r="AT53" i="1" s="1"/>
  <c r="AP138" i="1"/>
  <c r="AQ138" i="1" s="1"/>
  <c r="AT138" i="1" s="1"/>
  <c r="AP161" i="1"/>
  <c r="AQ161" i="1" s="1"/>
  <c r="AT161" i="1" s="1"/>
  <c r="AP88" i="1"/>
  <c r="AQ88" i="1" s="1"/>
  <c r="AT88" i="1" s="1"/>
  <c r="AO162" i="1"/>
  <c r="AR162" i="1" s="1"/>
  <c r="AS162" i="1" s="1"/>
  <c r="AO201" i="1"/>
  <c r="AR201" i="1" s="1"/>
  <c r="AS201" i="1" s="1"/>
  <c r="AP173" i="1"/>
  <c r="AQ173" i="1" s="1"/>
  <c r="AT173" i="1" s="1"/>
</calcChain>
</file>

<file path=xl/sharedStrings.xml><?xml version="1.0" encoding="utf-8"?>
<sst xmlns="http://schemas.openxmlformats.org/spreadsheetml/2006/main" count="227" uniqueCount="164">
  <si>
    <t>DESIGN INPUTS</t>
  </si>
  <si>
    <t>Enter Values</t>
  </si>
  <si>
    <t>MAX INPUT VOLTAGE(Vin)</t>
  </si>
  <si>
    <t>MIN INPUT VOLTAGE(Vin)</t>
  </si>
  <si>
    <t>OUTPUT VOLTAGE(Vo)</t>
  </si>
  <si>
    <t>LOAD CURRENT(Io)</t>
  </si>
  <si>
    <t>SWITCHING FREQUENCY(Fsw)</t>
  </si>
  <si>
    <t>Tsw</t>
  </si>
  <si>
    <t>CROSSOVER FREQUENCY(Fc)</t>
  </si>
  <si>
    <t>HIGH SIDE MOSFET ON RESISTANCE(Rdson)</t>
  </si>
  <si>
    <t>LOW SIDE MOSFET ON RESISTANCE(Rdson)</t>
  </si>
  <si>
    <r>
      <t>ERROR AMPLIFIER TRANSCONDUCTANCE (g</t>
    </r>
    <r>
      <rPr>
        <b/>
        <sz val="6"/>
        <rFont val="Arial"/>
        <family val="2"/>
      </rPr>
      <t>M</t>
    </r>
    <r>
      <rPr>
        <b/>
        <sz val="10"/>
        <rFont val="Arial"/>
        <family val="2"/>
      </rPr>
      <t>)</t>
    </r>
  </si>
  <si>
    <t>Duty Cycle</t>
  </si>
  <si>
    <t>∆Vin or input ripple voltage</t>
  </si>
  <si>
    <t>Input Capacitor</t>
  </si>
  <si>
    <t>Input Capacitor RMS current</t>
  </si>
  <si>
    <t>Ro</t>
  </si>
  <si>
    <t>DCR (inductor resistance)</t>
  </si>
  <si>
    <t>OUTPUT CAPACITOR</t>
  </si>
  <si>
    <t>ESR of output capacitor</t>
  </si>
  <si>
    <t>Peak to Peak Ripple:capacitive component</t>
  </si>
  <si>
    <t>Peak to Peak Ripple:ESR component</t>
  </si>
  <si>
    <t>VOLTAGE DIVIDER NETWORK</t>
  </si>
  <si>
    <t>Actual Output Voltage</t>
  </si>
  <si>
    <t>COMPENSATION</t>
  </si>
  <si>
    <t>Suggested Cc</t>
  </si>
  <si>
    <t>Suggested Rc</t>
  </si>
  <si>
    <t>Suggested Cf</t>
  </si>
  <si>
    <t>Zero Location</t>
  </si>
  <si>
    <t>Pole Location</t>
  </si>
  <si>
    <t>D</t>
  </si>
  <si>
    <t>f</t>
  </si>
  <si>
    <t>s</t>
  </si>
  <si>
    <t>g1</t>
  </si>
  <si>
    <t>g2</t>
  </si>
  <si>
    <t>g3</t>
  </si>
  <si>
    <t>g4</t>
  </si>
  <si>
    <t>Vout(s)/Verr(s)</t>
  </si>
  <si>
    <t>|Vout(s)/Verr(s)|</t>
  </si>
  <si>
    <t>ang</t>
  </si>
  <si>
    <t>°</t>
  </si>
  <si>
    <t>db</t>
  </si>
  <si>
    <t>ota1</t>
  </si>
  <si>
    <t>ota2</t>
  </si>
  <si>
    <t>ota3</t>
  </si>
  <si>
    <t>g(s)</t>
  </si>
  <si>
    <t>|(g(s)|</t>
  </si>
  <si>
    <t>Gain At Frequency</t>
  </si>
  <si>
    <t>Minimum Frequency</t>
  </si>
  <si>
    <t>D'</t>
  </si>
  <si>
    <t>wn</t>
  </si>
  <si>
    <t>Maximum Frequency</t>
  </si>
  <si>
    <t>Tsw_</t>
  </si>
  <si>
    <t>Qp</t>
  </si>
  <si>
    <t>Mccm</t>
  </si>
  <si>
    <t>wz1</t>
  </si>
  <si>
    <t>Ω</t>
  </si>
  <si>
    <t>M</t>
  </si>
  <si>
    <t>Sn</t>
  </si>
  <si>
    <t>A/s</t>
  </si>
  <si>
    <t>wp1</t>
  </si>
  <si>
    <t>mc</t>
  </si>
  <si>
    <t>Rout</t>
  </si>
  <si>
    <t>Se</t>
  </si>
  <si>
    <t>Dmax</t>
  </si>
  <si>
    <t>Rsw_eq</t>
  </si>
  <si>
    <t>Cout</t>
  </si>
  <si>
    <t>Cesr</t>
  </si>
  <si>
    <t>OTA Parameters</t>
  </si>
  <si>
    <t>C0</t>
  </si>
  <si>
    <t>F</t>
  </si>
  <si>
    <t>R0</t>
  </si>
  <si>
    <t>Rotaesd</t>
  </si>
  <si>
    <t>gm</t>
  </si>
  <si>
    <t>wz1e</t>
  </si>
  <si>
    <t>wz2e</t>
  </si>
  <si>
    <t>wp1e</t>
  </si>
  <si>
    <t>wp2e</t>
  </si>
  <si>
    <t>comp_C1</t>
  </si>
  <si>
    <t>comp_C2</t>
  </si>
  <si>
    <t>L</t>
  </si>
  <si>
    <t>Vout</t>
  </si>
  <si>
    <t>N/A</t>
  </si>
  <si>
    <t>NOMINAL INPUT VOLTAGE</t>
  </si>
  <si>
    <t>INPUT CAPACITOR</t>
  </si>
  <si>
    <t>INDUCTOR CURRENT RIPPLE</t>
  </si>
  <si>
    <t>INDUCTOR</t>
  </si>
  <si>
    <t xml:space="preserve">∆ Load step </t>
  </si>
  <si>
    <t>OUTPUT VOLTAGE CHANGE(STEP LOAD) (%)</t>
  </si>
  <si>
    <t>∆Vout</t>
  </si>
  <si>
    <t>RFB2 (LOWER)</t>
  </si>
  <si>
    <t>RFB1 (UPPER)</t>
  </si>
  <si>
    <t>Values used</t>
  </si>
  <si>
    <t>Ri</t>
  </si>
  <si>
    <t>com_c1</t>
  </si>
  <si>
    <t>comp_c2</t>
  </si>
  <si>
    <t>Cout(output capacitance)</t>
  </si>
  <si>
    <t>Rload</t>
  </si>
  <si>
    <t>L(output Inductance)</t>
  </si>
  <si>
    <t>%</t>
  </si>
  <si>
    <t>V</t>
  </si>
  <si>
    <t>A</t>
  </si>
  <si>
    <t>Hz</t>
  </si>
  <si>
    <t xml:space="preserve">% </t>
  </si>
  <si>
    <t>S</t>
  </si>
  <si>
    <t>INPUT VOLTAGE RIPPLE</t>
  </si>
  <si>
    <t>Calculation</t>
  </si>
  <si>
    <t>MHz</t>
  </si>
  <si>
    <t>uF</t>
  </si>
  <si>
    <t>uH</t>
  </si>
  <si>
    <t>pF</t>
  </si>
  <si>
    <t>Note: There is a 18pF capacitor at the output of the OTA integrated in the IC, and if a larger capacitor needs to be used, please subtract this value from Cf.</t>
  </si>
  <si>
    <t>Note: The selected inductor value must be larger than the calculated value.  This design sheet is only for continuous conduction mode.</t>
  </si>
  <si>
    <t>NCV8901xx (1.2A 2MHz Buck Regulator)</t>
  </si>
  <si>
    <t>Worst Case Maximum Allowable Ambient Temperature</t>
  </si>
  <si>
    <t xml:space="preserve">Output Voltage: </t>
  </si>
  <si>
    <t xml:space="preserve">Output Current: </t>
  </si>
  <si>
    <t>Reference output current</t>
  </si>
  <si>
    <t xml:space="preserve">Switching Frequency: </t>
  </si>
  <si>
    <t>kHz</t>
  </si>
  <si>
    <t xml:space="preserve">Diode forward voltage: </t>
  </si>
  <si>
    <t>Rdson</t>
  </si>
  <si>
    <t xml:space="preserve">R theta j-a: </t>
  </si>
  <si>
    <t>°C/W</t>
  </si>
  <si>
    <t>BST LDO Load</t>
  </si>
  <si>
    <t>mA</t>
  </si>
  <si>
    <t>Iq</t>
  </si>
  <si>
    <t>Reference</t>
  </si>
  <si>
    <t>Input Voltage</t>
  </si>
  <si>
    <t>Operating Switching Frequency (kHz)</t>
  </si>
  <si>
    <t>=Vin+VD</t>
  </si>
  <si>
    <t>=0 to Load</t>
  </si>
  <si>
    <t>t1</t>
  </si>
  <si>
    <t>=Vin-1</t>
  </si>
  <si>
    <t>=Load to Load+0.4</t>
  </si>
  <si>
    <t>t2</t>
  </si>
  <si>
    <t>=Vin-1 to 1V</t>
  </si>
  <si>
    <t>=Load+0.4 to Load</t>
  </si>
  <si>
    <t>t3</t>
  </si>
  <si>
    <t>=0.5V</t>
  </si>
  <si>
    <t>=Load</t>
  </si>
  <si>
    <t>t4</t>
  </si>
  <si>
    <t>t1 switching loss</t>
  </si>
  <si>
    <t>t2 switching loss</t>
  </si>
  <si>
    <t>t3 switching loss</t>
  </si>
  <si>
    <t>t4 switching loss</t>
  </si>
  <si>
    <t>Switching Losses (W)</t>
  </si>
  <si>
    <t>Conduction losses (W)</t>
  </si>
  <si>
    <t>Total FET losses (W)</t>
  </si>
  <si>
    <t>Bootstrap LDO losses (W)</t>
  </si>
  <si>
    <t>Iq losses (W)</t>
  </si>
  <si>
    <t>Total Dissipation (W)</t>
  </si>
  <si>
    <t>Temp rise (°C)</t>
  </si>
  <si>
    <t>Max ambient (°C)</t>
  </si>
  <si>
    <t>Diode power dissipation (W)</t>
  </si>
  <si>
    <r>
      <t xml:space="preserve">This spreadsheet calculates the maximum ambient temperature which ensures that the junction temperature of the IC doesn't exceed 150°C in the worst case.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 xml:space="preserve">Enter the output voltage, output current, switching frequency and Rtheta(j-a) of the application; and adjust the minimum and maximum input voltages. Use worst case values for a worst case result.
</t>
    </r>
    <r>
      <rPr>
        <b/>
        <i/>
        <sz val="8"/>
        <color indexed="8"/>
        <rFont val="Calibri"/>
        <family val="2"/>
      </rPr>
      <t xml:space="preserve">
</t>
    </r>
    <r>
      <rPr>
        <b/>
        <i/>
        <sz val="11"/>
        <color indexed="8"/>
        <rFont val="Calibri"/>
        <family val="2"/>
      </rPr>
      <t>The Bootstrap LDO losses can be excluded if an external 3.3 V bootstrap voltage source is used.</t>
    </r>
  </si>
  <si>
    <t>* note: the regulator shuts down when Vin is lower than 4.2 V typical (4.5 V max.)</t>
  </si>
  <si>
    <t>Vin min (loss of reg)</t>
  </si>
  <si>
    <t>Vin min @ 2MHz</t>
  </si>
  <si>
    <t>Iout</t>
  </si>
  <si>
    <t>Vout =</t>
  </si>
  <si>
    <t xml:space="preserve">Calculates the Vin thresholds at which: </t>
  </si>
  <si>
    <t>rev. 0</t>
  </si>
  <si>
    <t>NCV89010x / NCV89020x min input voltage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</si>
</sst>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E+00"/>
    <numFmt numFmtId="165" formatCode="0.0000000"/>
    <numFmt numFmtId="170" formatCode="0.0"/>
    <numFmt numFmtId="171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6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1"/>
      <name val="돋움체"/>
      <family val="3"/>
      <charset val="129"/>
    </font>
    <font>
      <b/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i/>
      <sz val="11"/>
      <color indexed="8"/>
      <name val="Calibri"/>
      <family val="2"/>
    </font>
    <font>
      <b/>
      <i/>
      <sz val="8"/>
      <color indexed="8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6" tint="-0.499984740745262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7F48C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>
      <protection locked="0"/>
    </xf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3" applyFont="1" applyFill="1" applyProtection="1"/>
    <xf numFmtId="0" fontId="10" fillId="0" borderId="0" xfId="0" applyFont="1" applyAlignment="1">
      <alignment horizontal="center"/>
    </xf>
    <xf numFmtId="0" fontId="1" fillId="4" borderId="2" xfId="3" applyBorder="1" applyAlignment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4" borderId="2" xfId="3" applyBorder="1" applyAlignment="1" applyProtection="1">
      <alignment horizontal="center"/>
      <protection locked="0"/>
    </xf>
    <xf numFmtId="0" fontId="1" fillId="4" borderId="0" xfId="3" applyProtection="1"/>
    <xf numFmtId="0" fontId="5" fillId="0" borderId="0" xfId="0" applyFont="1" applyFill="1" applyBorder="1" applyAlignment="1" applyProtection="1">
      <alignment horizontal="center"/>
    </xf>
    <xf numFmtId="0" fontId="11" fillId="2" borderId="2" xfId="1" applyFont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4" fillId="2" borderId="2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2" applyNumberFormat="1" applyAlignment="1" applyProtection="1">
      <alignment horizontal="center"/>
    </xf>
    <xf numFmtId="0" fontId="3" fillId="3" borderId="4" xfId="2" applyNumberFormat="1" applyBorder="1" applyAlignment="1" applyProtection="1">
      <alignment horizontal="center"/>
    </xf>
    <xf numFmtId="0" fontId="3" fillId="3" borderId="5" xfId="2" applyNumberFormat="1" applyBorder="1" applyAlignment="1" applyProtection="1">
      <alignment horizontal="center"/>
    </xf>
    <xf numFmtId="0" fontId="3" fillId="3" borderId="3" xfId="2" applyNumberFormat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Protection="1"/>
    <xf numFmtId="0" fontId="0" fillId="0" borderId="0" xfId="0" applyAlignment="1" applyProtection="1"/>
    <xf numFmtId="0" fontId="6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11" fontId="0" fillId="0" borderId="0" xfId="0" applyNumberFormat="1" applyFill="1" applyBorder="1" applyAlignment="1" applyProtection="1">
      <alignment horizontal="center"/>
    </xf>
    <xf numFmtId="11" fontId="6" fillId="0" borderId="0" xfId="0" applyNumberFormat="1" applyFont="1" applyProtection="1"/>
    <xf numFmtId="0" fontId="0" fillId="0" borderId="0" xfId="0" applyFill="1" applyBorder="1" applyAlignment="1" applyProtection="1">
      <alignment horizontal="center"/>
    </xf>
    <xf numFmtId="0" fontId="6" fillId="0" borderId="0" xfId="0" applyNumberFormat="1" applyFont="1" applyProtection="1"/>
    <xf numFmtId="0" fontId="6" fillId="0" borderId="0" xfId="0" applyFont="1" applyAlignment="1" applyProtection="1"/>
    <xf numFmtId="0" fontId="9" fillId="0" borderId="0" xfId="0" applyFont="1" applyProtection="1"/>
    <xf numFmtId="164" fontId="0" fillId="0" borderId="0" xfId="0" applyNumberFormat="1" applyFill="1" applyBorder="1" applyAlignment="1" applyProtection="1">
      <alignment horizontal="center"/>
    </xf>
    <xf numFmtId="165" fontId="6" fillId="0" borderId="0" xfId="0" applyNumberFormat="1" applyFont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2" fillId="2" borderId="2" xfId="1" applyBorder="1" applyAlignment="1" applyProtection="1">
      <alignment horizontal="center"/>
    </xf>
    <xf numFmtId="0" fontId="0" fillId="4" borderId="2" xfId="3" applyNumberFormat="1" applyFont="1" applyBorder="1" applyAlignment="1" applyProtection="1">
      <alignment horizontal="center"/>
      <protection locked="0"/>
    </xf>
    <xf numFmtId="0" fontId="3" fillId="3" borderId="1" xfId="2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5" borderId="1" xfId="2" applyFont="1" applyFill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4" fillId="7" borderId="14" xfId="0" applyFont="1" applyFill="1" applyBorder="1" applyAlignment="1" applyProtection="1">
      <alignment horizontal="center" vertical="center"/>
      <protection hidden="1"/>
    </xf>
    <xf numFmtId="0" fontId="24" fillId="7" borderId="9" xfId="0" applyFont="1" applyFill="1" applyBorder="1" applyAlignment="1" applyProtection="1">
      <alignment horizontal="center" vertical="center"/>
      <protection hidden="1"/>
    </xf>
    <xf numFmtId="0" fontId="24" fillId="7" borderId="16" xfId="0" applyFont="1" applyFill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0" fillId="0" borderId="0" xfId="0" quotePrefix="1" applyAlignment="1" applyProtection="1">
      <alignment vertical="center"/>
      <protection hidden="1"/>
    </xf>
    <xf numFmtId="0" fontId="0" fillId="0" borderId="0" xfId="0" quotePrefix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1" fontId="0" fillId="0" borderId="0" xfId="0" applyNumberFormat="1" applyAlignment="1" applyProtection="1">
      <alignment vertical="center"/>
      <protection hidden="1"/>
    </xf>
    <xf numFmtId="9" fontId="1" fillId="0" borderId="0" xfId="4" applyFont="1" applyAlignment="1" applyProtection="1">
      <alignment vertical="center"/>
      <protection hidden="1"/>
    </xf>
    <xf numFmtId="170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171" fontId="18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1" fontId="0" fillId="0" borderId="0" xfId="0" applyNumberFormat="1" applyFill="1" applyBorder="1" applyAlignment="1" applyProtection="1">
      <alignment horizontal="right" vertical="center"/>
      <protection hidden="1"/>
    </xf>
    <xf numFmtId="171" fontId="0" fillId="0" borderId="0" xfId="0" applyNumberForma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16" fillId="6" borderId="8" xfId="0" applyFont="1" applyFill="1" applyBorder="1" applyAlignment="1" applyProtection="1">
      <alignment horizontal="center" vertical="center"/>
      <protection locked="0"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2" fontId="0" fillId="0" borderId="10" xfId="0" applyNumberFormat="1" applyBorder="1" applyAlignment="1" applyProtection="1">
      <alignment horizontal="center" vertical="center"/>
      <protection hidden="1"/>
    </xf>
    <xf numFmtId="2" fontId="0" fillId="0" borderId="11" xfId="0" applyNumberForma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0" borderId="10" xfId="0" quotePrefix="1" applyBorder="1" applyAlignment="1" applyProtection="1">
      <alignment horizontal="center" vertical="center"/>
      <protection hidden="1"/>
    </xf>
    <xf numFmtId="0" fontId="0" fillId="0" borderId="0" xfId="0" quotePrefix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2" fontId="18" fillId="0" borderId="10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170" fontId="0" fillId="0" borderId="11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171" fontId="0" fillId="0" borderId="10" xfId="0" applyNumberFormat="1" applyBorder="1" applyAlignment="1" applyProtection="1">
      <alignment horizontal="center" vertical="center"/>
      <protection hidden="1"/>
    </xf>
    <xf numFmtId="171" fontId="0" fillId="0" borderId="11" xfId="0" applyNumberFormat="1" applyBorder="1" applyAlignment="1" applyProtection="1">
      <alignment horizontal="center" vertical="center"/>
      <protection hidden="1"/>
    </xf>
    <xf numFmtId="1" fontId="0" fillId="0" borderId="12" xfId="0" applyNumberFormat="1" applyBorder="1" applyAlignment="1" applyProtection="1">
      <alignment horizontal="center" vertical="center"/>
      <protection hidden="1"/>
    </xf>
    <xf numFmtId="1" fontId="0" fillId="0" borderId="13" xfId="0" applyNumberForma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1" fontId="5" fillId="0" borderId="9" xfId="0" applyNumberFormat="1" applyFont="1" applyBorder="1" applyAlignment="1" applyProtection="1">
      <alignment horizontal="center" vertical="center"/>
      <protection hidden="1"/>
    </xf>
    <xf numFmtId="1" fontId="5" fillId="0" borderId="6" xfId="0" applyNumberFormat="1" applyFont="1" applyBorder="1" applyAlignment="1" applyProtection="1">
      <alignment horizontal="center" vertical="center"/>
      <protection hidden="1"/>
    </xf>
    <xf numFmtId="171" fontId="23" fillId="0" borderId="15" xfId="0" applyNumberFormat="1" applyFont="1" applyBorder="1" applyAlignment="1" applyProtection="1">
      <alignment horizontal="center" vertical="center"/>
      <protection hidden="1"/>
    </xf>
    <xf numFmtId="171" fontId="23" fillId="0" borderId="13" xfId="0" applyNumberFormat="1" applyFont="1" applyBorder="1" applyAlignment="1" applyProtection="1">
      <alignment horizontal="center" vertical="center"/>
      <protection hidden="1"/>
    </xf>
    <xf numFmtId="1" fontId="24" fillId="7" borderId="14" xfId="0" applyNumberFormat="1" applyFont="1" applyFill="1" applyBorder="1" applyAlignment="1" applyProtection="1">
      <alignment horizontal="center" vertical="center"/>
      <protection hidden="1"/>
    </xf>
    <xf numFmtId="1" fontId="24" fillId="7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/>
    <xf numFmtId="0" fontId="0" fillId="0" borderId="31" xfId="0" applyBorder="1" applyAlignment="1"/>
    <xf numFmtId="0" fontId="0" fillId="0" borderId="8" xfId="0" applyBorder="1" applyAlignment="1">
      <alignment horizontal="center"/>
    </xf>
    <xf numFmtId="0" fontId="17" fillId="8" borderId="0" xfId="0" applyFont="1" applyFill="1" applyAlignment="1" applyProtection="1">
      <alignment horizontal="center"/>
      <protection locked="0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5">
    <cellStyle name="Calculation" xfId="2" builtinId="22"/>
    <cellStyle name="Good" xfId="1" builtinId="26"/>
    <cellStyle name="Normal" xfId="0" builtinId="0"/>
    <cellStyle name="ONInput" xfId="3"/>
    <cellStyle name="Percent" xfId="4" builtinId="5"/>
  </cellStyles>
  <dxfs count="1">
    <dxf>
      <font>
        <color theme="5" tint="-0.2499465926084170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Verr / Vout (Compensator)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186269310616249"/>
          <c:y val="0.14946716994325607"/>
          <c:w val="0.73143280969597613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'Design tool'!$AQ$1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tool'!$AQ$2:$AQ$202</c:f>
              <c:numCache>
                <c:formatCode>General</c:formatCode>
                <c:ptCount val="201"/>
                <c:pt idx="0">
                  <c:v>178.92217568967743</c:v>
                </c:pt>
                <c:pt idx="1">
                  <c:v>178.853818930502</c:v>
                </c:pt>
                <c:pt idx="2">
                  <c:v>178.78112943143319</c:v>
                </c:pt>
                <c:pt idx="3">
                  <c:v>178.70383307516306</c:v>
                </c:pt>
                <c:pt idx="4">
                  <c:v>178.62163850524163</c:v>
                </c:pt>
                <c:pt idx="5">
                  <c:v>178.5342360628529</c:v>
                </c:pt>
                <c:pt idx="6">
                  <c:v>178.44129666227857</c:v>
                </c:pt>
                <c:pt idx="7">
                  <c:v>178.34247060239579</c:v>
                </c:pt>
                <c:pt idx="8">
                  <c:v>178.23738631163408</c:v>
                </c:pt>
                <c:pt idx="9">
                  <c:v>178.12564902394996</c:v>
                </c:pt>
                <c:pt idx="10">
                  <c:v>178.00683938357875</c:v>
                </c:pt>
                <c:pt idx="11">
                  <c:v>177.88051197660661</c:v>
                </c:pt>
                <c:pt idx="12">
                  <c:v>177.74619378779013</c:v>
                </c:pt>
                <c:pt idx="13">
                  <c:v>177.60338258156153</c:v>
                </c:pt>
                <c:pt idx="14">
                  <c:v>177.45154520681695</c:v>
                </c:pt>
                <c:pt idx="15">
                  <c:v>177.29011582592949</c:v>
                </c:pt>
                <c:pt idx="16">
                  <c:v>177.11849406949366</c:v>
                </c:pt>
                <c:pt idx="17">
                  <c:v>176.93604311963756</c:v>
                </c:pt>
                <c:pt idx="18">
                  <c:v>176.74208772639017</c:v>
                </c:pt>
                <c:pt idx="19">
                  <c:v>176.53591216362199</c:v>
                </c:pt>
                <c:pt idx="20">
                  <c:v>176.31675813356205</c:v>
                </c:pt>
                <c:pt idx="21">
                  <c:v>176.08382263191967</c:v>
                </c:pt>
                <c:pt idx="22">
                  <c:v>175.83625578930003</c:v>
                </c:pt>
                <c:pt idx="23">
                  <c:v>175.5731587090128</c:v>
                </c:pt>
                <c:pt idx="24">
                  <c:v>175.29358132666263</c:v>
                </c:pt>
                <c:pt idx="25">
                  <c:v>174.99652032321961</c:v>
                </c:pt>
                <c:pt idx="26">
                  <c:v>174.68091713076072</c:v>
                </c:pt>
                <c:pt idx="27">
                  <c:v>174.34565607892466</c:v>
                </c:pt>
                <c:pt idx="28">
                  <c:v>173.98956274052287</c:v>
                </c:pt>
                <c:pt idx="29">
                  <c:v>173.61140254689013</c:v>
                </c:pt>
                <c:pt idx="30">
                  <c:v>173.2098797576449</c:v>
                </c:pt>
                <c:pt idx="31">
                  <c:v>172.78363688574063</c:v>
                </c:pt>
                <c:pt idx="32">
                  <c:v>172.33125469718362</c:v>
                </c:pt>
                <c:pt idx="33">
                  <c:v>171.85125292567736</c:v>
                </c:pt>
                <c:pt idx="34">
                  <c:v>171.34209186573781</c:v>
                </c:pt>
                <c:pt idx="35">
                  <c:v>170.80217503339873</c:v>
                </c:pt>
                <c:pt idx="36">
                  <c:v>170.22985311117716</c:v>
                </c:pt>
                <c:pt idx="37">
                  <c:v>169.62342942293466</c:v>
                </c:pt>
                <c:pt idx="38">
                  <c:v>168.98116721370567</c:v>
                </c:pt>
                <c:pt idx="39">
                  <c:v>168.30129903809069</c:v>
                </c:pt>
                <c:pt idx="40">
                  <c:v>167.58203858642591</c:v>
                </c:pt>
                <c:pt idx="41">
                  <c:v>166.82159529794578</c:v>
                </c:pt>
                <c:pt idx="42">
                  <c:v>166.01819212096109</c:v>
                </c:pt>
                <c:pt idx="43">
                  <c:v>165.17008677716618</c:v>
                </c:pt>
                <c:pt idx="44">
                  <c:v>164.27559686497929</c:v>
                </c:pt>
                <c:pt idx="45">
                  <c:v>163.33312908876539</c:v>
                </c:pt>
                <c:pt idx="46">
                  <c:v>162.34121281952437</c:v>
                </c:pt>
                <c:pt idx="47">
                  <c:v>161.29853807037622</c:v>
                </c:pt>
                <c:pt idx="48">
                  <c:v>160.20399779948161</c:v>
                </c:pt>
                <c:pt idx="49">
                  <c:v>159.05673422775101</c:v>
                </c:pt>
                <c:pt idx="50">
                  <c:v>157.85618857555542</c:v>
                </c:pt>
                <c:pt idx="51">
                  <c:v>156.60215328294072</c:v>
                </c:pt>
                <c:pt idx="52">
                  <c:v>155.29482538979121</c:v>
                </c:pt>
                <c:pt idx="53">
                  <c:v>153.93485933296324</c:v>
                </c:pt>
                <c:pt idx="54">
                  <c:v>152.52341699445537</c:v>
                </c:pt>
                <c:pt idx="55">
                  <c:v>151.06221244734752</c:v>
                </c:pt>
                <c:pt idx="56">
                  <c:v>149.55354854435251</c:v>
                </c:pt>
                <c:pt idx="57">
                  <c:v>148.00034233435409</c:v>
                </c:pt>
                <c:pt idx="58">
                  <c:v>146.40613633351938</c:v>
                </c:pt>
                <c:pt idx="59">
                  <c:v>144.77509296996683</c:v>
                </c:pt>
                <c:pt idx="60">
                  <c:v>143.11197009658369</c:v>
                </c:pt>
                <c:pt idx="61">
                  <c:v>141.42207632800154</c:v>
                </c:pt>
                <c:pt idx="62">
                  <c:v>139.71120606925962</c:v>
                </c:pt>
                <c:pt idx="63">
                  <c:v>137.98555538792911</c:v>
                </c:pt>
                <c:pt idx="64">
                  <c:v>136.2516212231036</c:v>
                </c:pt>
                <c:pt idx="65">
                  <c:v>134.51608768304126</c:v>
                </c:pt>
                <c:pt idx="66">
                  <c:v>132.78570421199134</c:v>
                </c:pt>
                <c:pt idx="67">
                  <c:v>131.06716107778936</c:v>
                </c:pt>
                <c:pt idx="68">
                  <c:v>129.3669678579146</c:v>
                </c:pt>
                <c:pt idx="69">
                  <c:v>127.69134035295856</c:v>
                </c:pt>
                <c:pt idx="70">
                  <c:v>126.04610066574065</c:v>
                </c:pt>
                <c:pt idx="71">
                  <c:v>124.43659414138696</c:v>
                </c:pt>
                <c:pt idx="72">
                  <c:v>122.86762559797666</c:v>
                </c:pt>
                <c:pt idx="73">
                  <c:v>121.34341593555591</c:v>
                </c:pt>
                <c:pt idx="74">
                  <c:v>119.86757893322442</c:v>
                </c:pt>
                <c:pt idx="75">
                  <c:v>118.44311694331292</c:v>
                </c:pt>
                <c:pt idx="76">
                  <c:v>117.07243334378593</c:v>
                </c:pt>
                <c:pt idx="77">
                  <c:v>115.7573590486306</c:v>
                </c:pt>
                <c:pt idx="78">
                  <c:v>114.49919009685401</c:v>
                </c:pt>
                <c:pt idx="79">
                  <c:v>113.29873331066298</c:v>
                </c:pt>
                <c:pt idx="80">
                  <c:v>112.15635718125876</c:v>
                </c:pt>
                <c:pt idx="81">
                  <c:v>111.07204544812251</c:v>
                </c:pt>
                <c:pt idx="82">
                  <c:v>110.04545122790466</c:v>
                </c:pt>
                <c:pt idx="83">
                  <c:v>109.07594997271909</c:v>
                </c:pt>
                <c:pt idx="84">
                  <c:v>108.16268995615121</c:v>
                </c:pt>
                <c:pt idx="85">
                  <c:v>107.30463937137488</c:v>
                </c:pt>
                <c:pt idx="86">
                  <c:v>106.50062946284424</c:v>
                </c:pt>
                <c:pt idx="87">
                  <c:v>105.74939339333862</c:v>
                </c:pt>
                <c:pt idx="88">
                  <c:v>105.04960077056232</c:v>
                </c:pt>
                <c:pt idx="89">
                  <c:v>104.39988792555567</c:v>
                </c:pt>
                <c:pt idx="90">
                  <c:v>103.7988841550261</c:v>
                </c:pt>
                <c:pt idx="91">
                  <c:v>103.24523421887494</c:v>
                </c:pt>
                <c:pt idx="92">
                  <c:v>102.73761743039358</c:v>
                </c:pt>
                <c:pt idx="93">
                  <c:v>102.27476369716794</c:v>
                </c:pt>
                <c:pt idx="94">
                  <c:v>101.85546687211315</c:v>
                </c:pt>
                <c:pt idx="95">
                  <c:v>101.47859576176724</c:v>
                </c:pt>
                <c:pt idx="96">
                  <c:v>101.14310311743786</c:v>
                </c:pt>
                <c:pt idx="97">
                  <c:v>100.84803290749993</c:v>
                </c:pt>
                <c:pt idx="98">
                  <c:v>100.59252613869937</c:v>
                </c:pt>
                <c:pt idx="99">
                  <c:v>100.37582546262456</c:v>
                </c:pt>
                <c:pt idx="100">
                  <c:v>100.19727877184158</c:v>
                </c:pt>
                <c:pt idx="101">
                  <c:v>100.05634195938104</c:v>
                </c:pt>
                <c:pt idx="102">
                  <c:v>99.952580985759568</c:v>
                </c:pt>
                <c:pt idx="103">
                  <c:v>99.885673369696633</c:v>
                </c:pt>
                <c:pt idx="104">
                  <c:v>99.8554091921132</c:v>
                </c:pt>
                <c:pt idx="105">
                  <c:v>99.861691677707768</c:v>
                </c:pt>
                <c:pt idx="106">
                  <c:v>99.904537394111799</c:v>
                </c:pt>
                <c:pt idx="107">
                  <c:v>99.984076084996786</c:v>
                </c:pt>
                <c:pt idx="108">
                  <c:v>100.10055013015187</c:v>
                </c:pt>
                <c:pt idx="109">
                  <c:v>100.25431360208745</c:v>
                </c:pt>
                <c:pt idx="110">
                  <c:v>100.44583086474564</c:v>
                </c:pt>
                <c:pt idx="111">
                  <c:v>100.67567463506123</c:v>
                </c:pt>
                <c:pt idx="112">
                  <c:v>100.94452340210582</c:v>
                </c:pt>
                <c:pt idx="113">
                  <c:v>101.25315807114029</c:v>
                </c:pt>
                <c:pt idx="114">
                  <c:v>101.60245767100376</c:v>
                </c:pt>
                <c:pt idx="115">
                  <c:v>101.99339393295449</c:v>
                </c:pt>
                <c:pt idx="116">
                  <c:v>102.42702451768992</c:v>
                </c:pt>
                <c:pt idx="117">
                  <c:v>102.90448463544475</c:v>
                </c:pt>
                <c:pt idx="118">
                  <c:v>103.4269767728843</c:v>
                </c:pt>
                <c:pt idx="119">
                  <c:v>103.99575821159388</c:v>
                </c:pt>
                <c:pt idx="120">
                  <c:v>104.61212599861099</c:v>
                </c:pt>
                <c:pt idx="121">
                  <c:v>105.27739901274569</c:v>
                </c:pt>
                <c:pt idx="122">
                  <c:v>105.99289676541913</c:v>
                </c:pt>
                <c:pt idx="123">
                  <c:v>106.75991458646466</c:v>
                </c:pt>
                <c:pt idx="124">
                  <c:v>107.57969487984552</c:v>
                </c:pt>
                <c:pt idx="125">
                  <c:v>108.45339419854825</c:v>
                </c:pt>
                <c:pt idx="126">
                  <c:v>109.38204598962828</c:v>
                </c:pt>
                <c:pt idx="127">
                  <c:v>110.36651900721326</c:v>
                </c:pt>
                <c:pt idx="128">
                  <c:v>111.40747159011767</c:v>
                </c:pt>
                <c:pt idx="129">
                  <c:v>112.50530225640709</c:v>
                </c:pt>
                <c:pt idx="130">
                  <c:v>113.66009738084956</c:v>
                </c:pt>
                <c:pt idx="131">
                  <c:v>114.87157708803666</c:v>
                </c:pt>
                <c:pt idx="132">
                  <c:v>116.13904090140876</c:v>
                </c:pt>
                <c:pt idx="133">
                  <c:v>117.46131511391505</c:v>
                </c:pt>
                <c:pt idx="134">
                  <c:v>118.83670425576223</c:v>
                </c:pt>
                <c:pt idx="135">
                  <c:v>120.26294938357722</c:v>
                </c:pt>
                <c:pt idx="136">
                  <c:v>121.73719614914376</c:v>
                </c:pt>
                <c:pt idx="137">
                  <c:v>123.25597566606935</c:v>
                </c:pt>
                <c:pt idx="138">
                  <c:v>124.81520102387485</c:v>
                </c:pt>
                <c:pt idx="139">
                  <c:v>126.41018185895861</c:v>
                </c:pt>
                <c:pt idx="140">
                  <c:v>128.03565866295764</c:v>
                </c:pt>
                <c:pt idx="141">
                  <c:v>129.68585750804795</c:v>
                </c:pt>
                <c:pt idx="142">
                  <c:v>131.3545646535209</c:v>
                </c:pt>
                <c:pt idx="143">
                  <c:v>133.03521916700339</c:v>
                </c:pt>
                <c:pt idx="144">
                  <c:v>134.72102037782909</c:v>
                </c:pt>
                <c:pt idx="145">
                  <c:v>136.40504582576941</c:v>
                </c:pt>
                <c:pt idx="146">
                  <c:v>138.0803745153469</c:v>
                </c:pt>
                <c:pt idx="147">
                  <c:v>139.74020984321623</c:v>
                </c:pt>
                <c:pt idx="148">
                  <c:v>141.37799659193763</c:v>
                </c:pt>
                <c:pt idx="149">
                  <c:v>142.98752687445548</c:v>
                </c:pt>
                <c:pt idx="150">
                  <c:v>144.56303080517628</c:v>
                </c:pt>
                <c:pt idx="151">
                  <c:v>146.09924885239775</c:v>
                </c:pt>
                <c:pt idx="152">
                  <c:v>147.59148415129863</c:v>
                </c:pt>
                <c:pt idx="153">
                  <c:v>149.03563438100136</c:v>
                </c:pt>
                <c:pt idx="154">
                  <c:v>150.42820400533446</c:v>
                </c:pt>
                <c:pt idx="155">
                  <c:v>151.76629865054315</c:v>
                </c:pt>
                <c:pt idx="156">
                  <c:v>153.04760409107084</c:v>
                </c:pt>
                <c:pt idx="157">
                  <c:v>154.27035272397396</c:v>
                </c:pt>
                <c:pt idx="158">
                  <c:v>155.43328055442757</c:v>
                </c:pt>
                <c:pt idx="159">
                  <c:v>156.53557763323388</c:v>
                </c:pt>
                <c:pt idx="160">
                  <c:v>157.57683463850537</c:v>
                </c:pt>
                <c:pt idx="161">
                  <c:v>158.55698793618791</c:v>
                </c:pt>
                <c:pt idx="162">
                  <c:v>159.47626504123019</c:v>
                </c:pt>
                <c:pt idx="163">
                  <c:v>160.33513197694461</c:v>
                </c:pt>
                <c:pt idx="164">
                  <c:v>161.13424362701488</c:v>
                </c:pt>
                <c:pt idx="165">
                  <c:v>161.87439781414369</c:v>
                </c:pt>
                <c:pt idx="166">
                  <c:v>162.55649353321067</c:v>
                </c:pt>
                <c:pt idx="167">
                  <c:v>163.18149351899899</c:v>
                </c:pt>
                <c:pt idx="168">
                  <c:v>163.75039113754798</c:v>
                </c:pt>
                <c:pt idx="169">
                  <c:v>164.26418145092094</c:v>
                </c:pt>
                <c:pt idx="170">
                  <c:v>164.72383621067868</c:v>
                </c:pt>
                <c:pt idx="171">
                  <c:v>165.13028247797061</c:v>
                </c:pt>
                <c:pt idx="172">
                  <c:v>165.48438454041423</c:v>
                </c:pt>
                <c:pt idx="173">
                  <c:v>165.78692879103039</c:v>
                </c:pt>
                <c:pt idx="174">
                  <c:v>166.03861124658474</c:v>
                </c:pt>
                <c:pt idx="175">
                  <c:v>166.24002740695104</c:v>
                </c:pt>
                <c:pt idx="176">
                  <c:v>166.39166418977359</c:v>
                </c:pt>
                <c:pt idx="177">
                  <c:v>166.49389371288595</c:v>
                </c:pt>
                <c:pt idx="178">
                  <c:v>166.54696873857301</c:v>
                </c:pt>
                <c:pt idx="179">
                  <c:v>166.5510196374006</c:v>
                </c:pt>
                <c:pt idx="180">
                  <c:v>166.50605277406476</c:v>
                </c:pt>
                <c:pt idx="181">
                  <c:v>166.41195026295026</c:v>
                </c:pt>
                <c:pt idx="182">
                  <c:v>166.26847108655423</c:v>
                </c:pt>
                <c:pt idx="183">
                  <c:v>166.07525361539982</c:v>
                </c:pt>
                <c:pt idx="184">
                  <c:v>165.83181961340105</c:v>
                </c:pt>
                <c:pt idx="185">
                  <c:v>165.53757985755738</c:v>
                </c:pt>
                <c:pt idx="186">
                  <c:v>165.19184154488445</c:v>
                </c:pt>
                <c:pt idx="187">
                  <c:v>164.79381770182741</c:v>
                </c:pt>
                <c:pt idx="188">
                  <c:v>164.34263885077166</c:v>
                </c:pt>
                <c:pt idx="189">
                  <c:v>163.83736722280125</c:v>
                </c:pt>
                <c:pt idx="190">
                  <c:v>163.27701383291949</c:v>
                </c:pt>
                <c:pt idx="191">
                  <c:v>162.66055875005623</c:v>
                </c:pt>
                <c:pt idx="192">
                  <c:v>161.98697489481088</c:v>
                </c:pt>
                <c:pt idx="193">
                  <c:v>161.25525567749943</c:v>
                </c:pt>
                <c:pt idx="194">
                  <c:v>160.46444674113579</c:v>
                </c:pt>
                <c:pt idx="195">
                  <c:v>159.61368199115944</c:v>
                </c:pt>
                <c:pt idx="196">
                  <c:v>158.70222396835246</c:v>
                </c:pt>
                <c:pt idx="197">
                  <c:v>157.72950844619578</c:v>
                </c:pt>
                <c:pt idx="198">
                  <c:v>156.69519290311447</c:v>
                </c:pt>
                <c:pt idx="199">
                  <c:v>155.59920823090795</c:v>
                </c:pt>
                <c:pt idx="200">
                  <c:v>154.44181269530227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15136"/>
        <c:axId val="109516672"/>
      </c:scatterChart>
      <c:valAx>
        <c:axId val="10951513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16672"/>
        <c:crosses val="autoZero"/>
        <c:crossBetween val="midCat"/>
      </c:valAx>
      <c:valAx>
        <c:axId val="10951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
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15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|Verr / Vout| (Compensator)</a:t>
            </a:r>
          </a:p>
        </c:rich>
      </c:tx>
      <c:layout>
        <c:manualLayout>
          <c:xMode val="edge"/>
          <c:yMode val="edge"/>
          <c:x val="0.23478889435194419"/>
          <c:y val="9.49421862807689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76933299042585"/>
          <c:y val="0.14376014636628506"/>
          <c:w val="0.71896987774062171"/>
          <c:h val="0.68947028910838004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tool'!$AR$2:$AR$201</c:f>
              <c:numCache>
                <c:formatCode>General</c:formatCode>
                <c:ptCount val="200"/>
                <c:pt idx="0">
                  <c:v>50.529624611585874</c:v>
                </c:pt>
                <c:pt idx="1">
                  <c:v>50.529420453052161</c:v>
                </c:pt>
                <c:pt idx="2">
                  <c:v>50.529189581718946</c:v>
                </c:pt>
                <c:pt idx="3">
                  <c:v>50.52892850410359</c:v>
                </c:pt>
                <c:pt idx="4">
                  <c:v>50.528633270324605</c:v>
                </c:pt>
                <c:pt idx="5">
                  <c:v>50.528299414610245</c:v>
                </c:pt>
                <c:pt idx="6">
                  <c:v>50.527921888087619</c:v>
                </c:pt>
                <c:pt idx="7">
                  <c:v>50.527494982864518</c:v>
                </c:pt>
                <c:pt idx="8">
                  <c:v>50.527012246286063</c:v>
                </c:pt>
                <c:pt idx="9">
                  <c:v>50.526466384114144</c:v>
                </c:pt>
                <c:pt idx="10">
                  <c:v>50.525849151217983</c:v>
                </c:pt>
                <c:pt idx="11">
                  <c:v>50.525151228193927</c:v>
                </c:pt>
                <c:pt idx="12">
                  <c:v>50.524362082137813</c:v>
                </c:pt>
                <c:pt idx="13">
                  <c:v>50.52346980957946</c:v>
                </c:pt>
                <c:pt idx="14">
                  <c:v>50.522460959352095</c:v>
                </c:pt>
                <c:pt idx="15">
                  <c:v>50.521320332906143</c:v>
                </c:pt>
                <c:pt idx="16">
                  <c:v>50.52003075928954</c:v>
                </c:pt>
                <c:pt idx="17">
                  <c:v>50.518572841700731</c:v>
                </c:pt>
                <c:pt idx="18">
                  <c:v>50.51692467217584</c:v>
                </c:pt>
                <c:pt idx="19">
                  <c:v>50.515061510599786</c:v>
                </c:pt>
                <c:pt idx="20">
                  <c:v>50.512955423829609</c:v>
                </c:pt>
                <c:pt idx="21">
                  <c:v>50.510574880292765</c:v>
                </c:pt>
                <c:pt idx="22">
                  <c:v>50.507884294971944</c:v>
                </c:pt>
                <c:pt idx="23">
                  <c:v>50.504843519225993</c:v>
                </c:pt>
                <c:pt idx="24">
                  <c:v>50.501407269417804</c:v>
                </c:pt>
                <c:pt idx="25">
                  <c:v>50.497524487853774</c:v>
                </c:pt>
                <c:pt idx="26">
                  <c:v>50.493137629090711</c:v>
                </c:pt>
                <c:pt idx="27">
                  <c:v>50.488181864260007</c:v>
                </c:pt>
                <c:pt idx="28">
                  <c:v>50.4825841957352</c:v>
                </c:pt>
                <c:pt idx="29">
                  <c:v>50.476262474254611</c:v>
                </c:pt>
                <c:pt idx="30">
                  <c:v>50.469124310568958</c:v>
                </c:pt>
                <c:pt idx="31">
                  <c:v>50.461065873877217</c:v>
                </c:pt>
                <c:pt idx="32">
                  <c:v>50.45197056982208</c:v>
                </c:pt>
                <c:pt idx="33">
                  <c:v>50.441707591747544</c:v>
                </c:pt>
                <c:pt idx="34">
                  <c:v>50.430130340396872</c:v>
                </c:pt>
                <c:pt idx="35">
                  <c:v>50.417074709398321</c:v>
                </c:pt>
                <c:pt idx="36">
                  <c:v>50.402357236926328</c:v>
                </c:pt>
                <c:pt idx="37">
                  <c:v>50.385773128034756</c:v>
                </c:pt>
                <c:pt idx="38">
                  <c:v>50.367094157565418</c:v>
                </c:pt>
                <c:pt idx="39">
                  <c:v>50.346066470476671</c:v>
                </c:pt>
                <c:pt idx="40">
                  <c:v>50.322408305160771</c:v>
                </c:pt>
                <c:pt idx="41">
                  <c:v>50.295807676057976</c:v>
                </c:pt>
                <c:pt idx="42">
                  <c:v>50.265920064813514</c:v>
                </c:pt>
                <c:pt idx="43">
                  <c:v>50.232366184466038</c:v>
                </c:pt>
                <c:pt idx="44">
                  <c:v>50.194729898661009</c:v>
                </c:pt>
                <c:pt idx="45">
                  <c:v>50.152556397398264</c:v>
                </c:pt>
                <c:pt idx="46">
                  <c:v>50.105350751796529</c:v>
                </c:pt>
                <c:pt idx="47">
                  <c:v>50.052576991848241</c:v>
                </c:pt>
                <c:pt idx="48">
                  <c:v>49.993657871708322</c:v>
                </c:pt>
                <c:pt idx="49">
                  <c:v>49.92797550470371</c:v>
                </c:pt>
                <c:pt idx="50">
                  <c:v>49.854873062351039</c:v>
                </c:pt>
                <c:pt idx="51">
                  <c:v>49.773657735024244</c:v>
                </c:pt>
                <c:pt idx="52">
                  <c:v>49.68360514288085</c:v>
                </c:pt>
                <c:pt idx="53">
                  <c:v>49.583965360441553</c:v>
                </c:pt>
                <c:pt idx="54">
                  <c:v>49.473970673349953</c:v>
                </c:pt>
                <c:pt idx="55">
                  <c:v>49.352845118802222</c:v>
                </c:pt>
                <c:pt idx="56">
                  <c:v>49.219815771202981</c:v>
                </c:pt>
                <c:pt idx="57">
                  <c:v>49.074125623620837</c:v>
                </c:pt>
                <c:pt idx="58">
                  <c:v>48.915047788801466</c:v>
                </c:pt>
                <c:pt idx="59">
                  <c:v>48.74190060975269</c:v>
                </c:pt>
                <c:pt idx="60">
                  <c:v>48.554063141718501</c:v>
                </c:pt>
                <c:pt idx="61">
                  <c:v>48.350990359749211</c:v>
                </c:pt>
                <c:pt idx="62">
                  <c:v>48.132227374940378</c:v>
                </c:pt>
                <c:pt idx="63">
                  <c:v>47.897421921990031</c:v>
                </c:pt>
                <c:pt idx="64">
                  <c:v>47.64633442090404</c:v>
                </c:pt>
                <c:pt idx="65">
                  <c:v>47.378845019481268</c:v>
                </c:pt>
                <c:pt idx="66">
                  <c:v>47.094957185319316</c:v>
                </c:pt>
                <c:pt idx="67">
                  <c:v>46.794797622678637</c:v>
                </c:pt>
                <c:pt idx="68">
                  <c:v>46.478612520001633</c:v>
                </c:pt>
                <c:pt idx="69">
                  <c:v>46.146760363726756</c:v>
                </c:pt>
                <c:pt idx="70">
                  <c:v>45.799701758916044</c:v>
                </c:pt>
                <c:pt idx="71">
                  <c:v>45.437986856752289</c:v>
                </c:pt>
                <c:pt idx="72">
                  <c:v>45.062241089740525</c:v>
                </c:pt>
                <c:pt idx="73">
                  <c:v>44.673149952566561</c:v>
                </c:pt>
                <c:pt idx="74">
                  <c:v>44.271443543427303</c:v>
                </c:pt>
                <c:pt idx="75">
                  <c:v>43.857881507407541</c:v>
                </c:pt>
                <c:pt idx="76">
                  <c:v>43.433238914532254</c:v>
                </c:pt>
                <c:pt idx="77">
                  <c:v>42.998293476350554</c:v>
                </c:pt>
                <c:pt idx="78">
                  <c:v>42.553814371280474</c:v>
                </c:pt>
                <c:pt idx="79">
                  <c:v>42.100552822759823</c:v>
                </c:pt>
                <c:pt idx="80">
                  <c:v>41.639234464249256</c:v>
                </c:pt>
                <c:pt idx="81">
                  <c:v>41.170553436345756</c:v>
                </c:pt>
                <c:pt idx="82">
                  <c:v>40.69516809540292</c:v>
                </c:pt>
                <c:pt idx="83">
                  <c:v>40.213698169284143</c:v>
                </c:pt>
                <c:pt idx="84">
                  <c:v>39.726723171608157</c:v>
                </c:pt>
                <c:pt idx="85">
                  <c:v>39.234781877600071</c:v>
                </c:pt>
                <c:pt idx="86">
                  <c:v>38.738372668619682</c:v>
                </c:pt>
                <c:pt idx="87">
                  <c:v>38.237954565000067</c:v>
                </c:pt>
                <c:pt idx="88">
                  <c:v>37.733948784796134</c:v>
                </c:pt>
                <c:pt idx="89">
                  <c:v>37.226740686849659</c:v>
                </c:pt>
                <c:pt idx="90">
                  <c:v>36.716681978231669</c:v>
                </c:pt>
                <c:pt idx="91">
                  <c:v>36.204093087231605</c:v>
                </c:pt>
                <c:pt idx="92">
                  <c:v>35.689265622688914</c:v>
                </c:pt>
                <c:pt idx="93">
                  <c:v>35.172464858090329</c:v>
                </c:pt>
                <c:pt idx="94">
                  <c:v>34.653932194235189</c:v>
                </c:pt>
                <c:pt idx="95">
                  <c:v>34.133887567374913</c:v>
                </c:pt>
                <c:pt idx="96">
                  <c:v>33.612531780669727</c:v>
                </c:pt>
                <c:pt idx="97">
                  <c:v>33.090048745770808</c:v>
                </c:pt>
                <c:pt idx="98">
                  <c:v>32.566607628554337</c:v>
                </c:pt>
                <c:pt idx="99">
                  <c:v>32.042364898758976</c:v>
                </c:pt>
                <c:pt idx="100">
                  <c:v>31.517466287745307</c:v>
                </c:pt>
                <c:pt idx="101">
                  <c:v>30.992048662028505</c:v>
                </c:pt>
                <c:pt idx="102">
                  <c:v>30.466241822826344</c:v>
                </c:pt>
                <c:pt idx="103">
                  <c:v>29.940170243777089</c:v>
                </c:pt>
                <c:pt idx="104">
                  <c:v>29.413954760370945</c:v>
                </c:pt>
                <c:pt idx="105">
                  <c:v>28.887714225581998</c:v>
                </c:pt>
                <c:pt idx="106">
                  <c:v>28.361567146801121</c:v>
                </c:pt>
                <c:pt idx="107">
                  <c:v>27.835633319482671</c:v>
                </c:pt>
                <c:pt idx="108">
                  <c:v>27.310035472970338</c:v>
                </c:pt>
                <c:pt idx="109">
                  <c:v>26.784900943766981</c:v>
                </c:pt>
                <c:pt idx="110">
                  <c:v>26.260363391030083</c:v>
                </c:pt>
                <c:pt idx="111">
                  <c:v>25.736564568280848</c:v>
                </c:pt>
                <c:pt idx="112">
                  <c:v>25.21365616411952</c:v>
                </c:pt>
                <c:pt idx="113">
                  <c:v>24.691801723068284</c:v>
                </c:pt>
                <c:pt idx="114">
                  <c:v>24.171178655369342</c:v>
                </c:pt>
                <c:pt idx="115">
                  <c:v>23.651980341516371</c:v>
                </c:pt>
                <c:pt idx="116">
                  <c:v>23.134418333283996</c:v>
                </c:pt>
                <c:pt idx="117">
                  <c:v>22.618724647858137</c:v>
                </c:pt>
                <c:pt idx="118">
                  <c:v>22.105154145106475</c:v>
                </c:pt>
                <c:pt idx="119">
                  <c:v>21.593986969830659</c:v>
                </c:pt>
                <c:pt idx="120">
                  <c:v>21.085531030758172</c:v>
                </c:pt>
                <c:pt idx="121">
                  <c:v>20.58012447586211</c:v>
                </c:pt>
                <c:pt idx="122">
                  <c:v>20.078138109177871</c:v>
                </c:pt>
                <c:pt idx="123">
                  <c:v>19.579977677592034</c:v>
                </c:pt>
                <c:pt idx="124">
                  <c:v>19.086085937244288</c:v>
                </c:pt>
                <c:pt idx="125">
                  <c:v>18.596944388611082</c:v>
                </c:pt>
                <c:pt idx="126">
                  <c:v>18.113074547767621</c:v>
                </c:pt>
                <c:pt idx="127">
                  <c:v>17.635038599956868</c:v>
                </c:pt>
                <c:pt idx="128">
                  <c:v>17.163439262140379</c:v>
                </c:pt>
                <c:pt idx="129">
                  <c:v>16.698918666009494</c:v>
                </c:pt>
                <c:pt idx="130">
                  <c:v>16.242156064925194</c:v>
                </c:pt>
                <c:pt idx="131">
                  <c:v>15.793864170887922</c:v>
                </c:pt>
                <c:pt idx="132">
                  <c:v>15.354783944687862</c:v>
                </c:pt>
                <c:pt idx="133">
                  <c:v>14.925677697545067</c:v>
                </c:pt>
                <c:pt idx="134">
                  <c:v>14.507320418864872</c:v>
                </c:pt>
                <c:pt idx="135">
                  <c:v>14.100489323892326</c:v>
                </c:pt>
                <c:pt idx="136">
                  <c:v>13.705951716502065</c:v>
                </c:pt>
                <c:pt idx="137">
                  <c:v>13.324451382556855</c:v>
                </c:pt>
                <c:pt idx="138">
                  <c:v>12.956693861049597</c:v>
                </c:pt>
                <c:pt idx="139">
                  <c:v>12.603331072751057</c:v>
                </c:pt>
                <c:pt idx="140">
                  <c:v>12.264945905301143</c:v>
                </c:pt>
                <c:pt idx="141">
                  <c:v>11.942037443865505</c:v>
                </c:pt>
                <c:pt idx="142">
                  <c:v>11.635007582254779</c:v>
                </c:pt>
                <c:pt idx="143">
                  <c:v>11.344149738526131</c:v>
                </c:pt>
                <c:pt idx="144">
                  <c:v>11.069640325019257</c:v>
                </c:pt>
                <c:pt idx="145">
                  <c:v>10.811533486822766</c:v>
                </c:pt>
                <c:pt idx="146">
                  <c:v>10.569759434734028</c:v>
                </c:pt>
                <c:pt idx="147">
                  <c:v>10.344126476593834</c:v>
                </c:pt>
                <c:pt idx="148">
                  <c:v>10.134326617564957</c:v>
                </c:pt>
                <c:pt idx="149">
                  <c:v>9.9399443803986074</c:v>
                </c:pt>
                <c:pt idx="150">
                  <c:v>9.7604683136765029</c:v>
                </c:pt>
                <c:pt idx="151">
                  <c:v>9.5953045264180901</c:v>
                </c:pt>
                <c:pt idx="152">
                  <c:v>9.4437915202741589</c:v>
                </c:pt>
                <c:pt idx="153">
                  <c:v>9.3052155861826886</c:v>
                </c:pt>
                <c:pt idx="154">
                  <c:v>9.1788260835740338</c:v>
                </c:pt>
                <c:pt idx="155">
                  <c:v>9.0638500142499208</c:v>
                </c:pt>
                <c:pt idx="156">
                  <c:v>8.9595054243969727</c:v>
                </c:pt>
                <c:pt idx="157">
                  <c:v>8.865013301174189</c:v>
                </c:pt>
                <c:pt idx="158">
                  <c:v>8.7796077612146366</c:v>
                </c:pt>
                <c:pt idx="159">
                  <c:v>8.7025444467247191</c:v>
                </c:pt>
                <c:pt idx="160">
                  <c:v>8.6331071439040787</c:v>
                </c:pt>
                <c:pt idx="161">
                  <c:v>8.5706127149435716</c:v>
                </c:pt>
                <c:pt idx="162">
                  <c:v>8.5144144886322639</c:v>
                </c:pt>
                <c:pt idx="163">
                  <c:v>8.463904287480192</c:v>
                </c:pt>
                <c:pt idx="164">
                  <c:v>8.4185132843951376</c:v>
                </c:pt>
                <c:pt idx="165">
                  <c:v>8.3777118830672386</c:v>
                </c:pt>
                <c:pt idx="166">
                  <c:v>8.3410088070606232</c:v>
                </c:pt>
                <c:pt idx="167">
                  <c:v>8.3079495666046892</c:v>
                </c:pt>
                <c:pt idx="168">
                  <c:v>8.2781144520824199</c:v>
                </c:pt>
                <c:pt idx="169">
                  <c:v>8.2511161815034075</c:v>
                </c:pt>
                <c:pt idx="170">
                  <c:v>8.2265973074831606</c:v>
                </c:pt>
                <c:pt idx="171">
                  <c:v>8.2042274685838485</c:v>
                </c:pt>
                <c:pt idx="172">
                  <c:v>8.1837005510029908</c:v>
                </c:pt>
                <c:pt idx="173">
                  <c:v>8.1647318099126185</c:v>
                </c:pt>
                <c:pt idx="174">
                  <c:v>8.1470549853782401</c:v>
                </c:pt>
                <c:pt idx="175">
                  <c:v>8.1304194356959432</c:v>
                </c:pt>
                <c:pt idx="176">
                  <c:v>8.1145873010435743</c:v>
                </c:pt>
                <c:pt idx="177">
                  <c:v>8.0993307023616463</c:v>
                </c:pt>
                <c:pt idx="178">
                  <c:v>8.0844289741656681</c:v>
                </c:pt>
                <c:pt idx="179">
                  <c:v>8.0696659253445837</c:v>
                </c:pt>
                <c:pt idx="180">
                  <c:v>8.0548271187648677</c:v>
                </c:pt>
                <c:pt idx="181">
                  <c:v>8.0396971585425927</c:v>
                </c:pt>
                <c:pt idx="182">
                  <c:v>8.0240569730892517</c:v>
                </c:pt>
                <c:pt idx="183">
                  <c:v>8.007681082450901</c:v>
                </c:pt>
                <c:pt idx="184">
                  <c:v>7.9903348400548015</c:v>
                </c:pt>
                <c:pt idx="185">
                  <c:v>7.9717716418285969</c:v>
                </c:pt>
                <c:pt idx="186">
                  <c:v>7.9517300998727514</c:v>
                </c:pt>
                <c:pt idx="187">
                  <c:v>7.929931183600786</c:v>
                </c:pt>
                <c:pt idx="188">
                  <c:v>7.9060753387034755</c:v>
                </c:pt>
                <c:pt idx="189">
                  <c:v>7.8798396036389038</c:v>
                </c:pt>
                <c:pt idx="190">
                  <c:v>7.8508747547894551</c:v>
                </c:pt>
                <c:pt idx="191">
                  <c:v>7.8188025251254603</c:v>
                </c:pt>
                <c:pt idx="192">
                  <c:v>7.7832129572216804</c:v>
                </c:pt>
                <c:pt idx="193">
                  <c:v>7.7436619697257489</c:v>
                </c:pt>
                <c:pt idx="194">
                  <c:v>7.6996692365747883</c:v>
                </c:pt>
                <c:pt idx="195">
                  <c:v>7.6507164997936385</c:v>
                </c:pt>
                <c:pt idx="196">
                  <c:v>7.5962464585822387</c:v>
                </c:pt>
                <c:pt idx="197">
                  <c:v>7.5356623981054884</c:v>
                </c:pt>
                <c:pt idx="198">
                  <c:v>7.4683287388449351</c:v>
                </c:pt>
                <c:pt idx="199">
                  <c:v>7.3935726988702886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45344"/>
        <c:axId val="109546880"/>
      </c:scatterChart>
      <c:valAx>
        <c:axId val="10954534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46880"/>
        <c:crosses val="autoZero"/>
        <c:crossBetween val="midCat"/>
      </c:valAx>
      <c:valAx>
        <c:axId val="109546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45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Vout / Verr </a:t>
            </a:r>
          </a:p>
          <a:p>
            <a:pPr>
              <a:defRPr/>
            </a:pPr>
            <a:r>
              <a:rPr lang="en-US"/>
              <a:t>(Power Stage)</a:t>
            </a:r>
          </a:p>
        </c:rich>
      </c:tx>
      <c:layout>
        <c:manualLayout>
          <c:xMode val="edge"/>
          <c:yMode val="edge"/>
          <c:x val="0.22323399754496326"/>
          <c:y val="1.9267828582473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4707386795686"/>
          <c:y val="0.25615075205382609"/>
          <c:w val="0.65330318693326161"/>
          <c:h val="0.689762479380479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'[1]8. Loop Compensation'!$AQ$1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'[1]8. Loop Compensation'!$Z$2:$Z$201</c:f>
              <c:numCache>
                <c:formatCode>General</c:formatCode>
                <c:ptCount val="200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</c:numCache>
            </c:numRef>
          </c:xVal>
          <c:yVal>
            <c:numRef>
              <c:f>'[1]8. Loop Compensation'!$AI$2:$AI$202</c:f>
              <c:numCache>
                <c:formatCode>General</c:formatCode>
                <c:ptCount val="201"/>
                <c:pt idx="0">
                  <c:v>-0.23927531200898353</c:v>
                </c:pt>
                <c:pt idx="1">
                  <c:v>-0.25445422772829379</c:v>
                </c:pt>
                <c:pt idx="2">
                  <c:v>-0.27059602160855623</c:v>
                </c:pt>
                <c:pt idx="3">
                  <c:v>-0.28776176854376251</c:v>
                </c:pt>
                <c:pt idx="4">
                  <c:v>-0.30601641626158638</c:v>
                </c:pt>
                <c:pt idx="5">
                  <c:v>-0.32542903067810408</c:v>
                </c:pt>
                <c:pt idx="6">
                  <c:v>-0.34607305675054162</c:v>
                </c:pt>
                <c:pt idx="7">
                  <c:v>-0.36802659579766672</c:v>
                </c:pt>
                <c:pt idx="8">
                  <c:v>-0.39137270031624344</c:v>
                </c:pt>
                <c:pt idx="9">
                  <c:v>-0.41619968738389718</c:v>
                </c:pt>
                <c:pt idx="10">
                  <c:v>-0.44260147180396053</c:v>
                </c:pt>
                <c:pt idx="11">
                  <c:v>-0.4706779202164183</c:v>
                </c:pt>
                <c:pt idx="12">
                  <c:v>-0.50053522747096824</c:v>
                </c:pt>
                <c:pt idx="13">
                  <c:v>-0.53228631663358184</c:v>
                </c:pt>
                <c:pt idx="14">
                  <c:v>-0.56605126407666728</c:v>
                </c:pt>
                <c:pt idx="15">
                  <c:v>-0.60195775118496531</c:v>
                </c:pt>
                <c:pt idx="16">
                  <c:v>-0.64014154429451198</c:v>
                </c:pt>
                <c:pt idx="17">
                  <c:v>-0.68074700457035575</c:v>
                </c:pt>
                <c:pt idx="18">
                  <c:v>-0.72392762961934531</c:v>
                </c:pt>
                <c:pt idx="19">
                  <c:v>-0.7698466287279716</c:v>
                </c:pt>
                <c:pt idx="20">
                  <c:v>-0.81867753370958052</c:v>
                </c:pt>
                <c:pt idx="21">
                  <c:v>-0.87060484744162547</c:v>
                </c:pt>
                <c:pt idx="22">
                  <c:v>-0.92582473226935946</c:v>
                </c:pt>
                <c:pt idx="23">
                  <c:v>-0.98454574054702648</c:v>
                </c:pt>
                <c:pt idx="24">
                  <c:v>-1.046989589679993</c:v>
                </c:pt>
                <c:pt idx="25">
                  <c:v>-1.1133919841180082</c:v>
                </c:pt>
                <c:pt idx="26">
                  <c:v>-1.184003486830947</c:v>
                </c:pt>
                <c:pt idx="27">
                  <c:v>-1.25909044286813</c:v>
                </c:pt>
                <c:pt idx="28">
                  <c:v>-1.3389359576592914</c:v>
                </c:pt>
                <c:pt idx="29">
                  <c:v>-1.423840932754149</c:v>
                </c:pt>
                <c:pt idx="30">
                  <c:v>-1.5141251617122169</c:v>
                </c:pt>
                <c:pt idx="31">
                  <c:v>-1.6101284888399865</c:v>
                </c:pt>
                <c:pt idx="32">
                  <c:v>-1.7122120334188695</c:v>
                </c:pt>
                <c:pt idx="33">
                  <c:v>-1.820759481966252</c:v>
                </c:pt>
                <c:pt idx="34">
                  <c:v>-1.9361784509111435</c:v>
                </c:pt>
                <c:pt idx="35">
                  <c:v>-2.0589019218305231</c:v>
                </c:pt>
                <c:pt idx="36">
                  <c:v>-2.1893897510670457</c:v>
                </c:pt>
                <c:pt idx="37">
                  <c:v>-2.3281302551108847</c:v>
                </c:pt>
                <c:pt idx="38">
                  <c:v>-2.4756418725558538</c:v>
                </c:pt>
                <c:pt idx="39">
                  <c:v>-2.6324749027012446</c:v>
                </c:pt>
                <c:pt idx="40">
                  <c:v>-2.7992133199336693</c:v>
                </c:pt>
                <c:pt idx="41">
                  <c:v>-2.9764766618443934</c:v>
                </c:pt>
                <c:pt idx="42">
                  <c:v>-3.164921987570589</c:v>
                </c:pt>
                <c:pt idx="43">
                  <c:v>-3.3652459010351654</c:v>
                </c:pt>
                <c:pt idx="44">
                  <c:v>-3.5781866315330149</c:v>
                </c:pt>
                <c:pt idx="45">
                  <c:v>-3.804526161393651</c:v>
                </c:pt>
                <c:pt idx="46">
                  <c:v>-4.0450923871503175</c:v>
                </c:pt>
                <c:pt idx="47">
                  <c:v>-4.3007612966594388</c:v>
                </c:pt>
                <c:pt idx="48">
                  <c:v>-4.5724591398221559</c:v>
                </c:pt>
                <c:pt idx="49">
                  <c:v>-4.8611645648267992</c:v>
                </c:pt>
                <c:pt idx="50">
                  <c:v>-5.1679106850031022</c:v>
                </c:pt>
                <c:pt idx="51">
                  <c:v>-5.4937870332934695</c:v>
                </c:pt>
                <c:pt idx="52">
                  <c:v>-5.8399413518123824</c:v>
                </c:pt>
                <c:pt idx="53">
                  <c:v>-6.2075811528007314</c:v>
                </c:pt>
                <c:pt idx="54">
                  <c:v>-6.5979749742753002</c:v>
                </c:pt>
                <c:pt idx="55">
                  <c:v>-7.0124532386473106</c:v>
                </c:pt>
                <c:pt idx="56">
                  <c:v>-7.4524086053463705</c:v>
                </c:pt>
                <c:pt idx="57">
                  <c:v>-7.9192956889129551</c:v>
                </c:pt>
                <c:pt idx="58">
                  <c:v>-8.4146299920454517</c:v>
                </c:pt>
                <c:pt idx="59">
                  <c:v>-8.9399858787311821</c:v>
                </c:pt>
                <c:pt idx="60">
                  <c:v>-9.4969933860733207</c:v>
                </c:pt>
                <c:pt idx="61">
                  <c:v>-10.087333645138447</c:v>
                </c:pt>
                <c:pt idx="62">
                  <c:v>-10.71273265184063</c:v>
                </c:pt>
                <c:pt idx="63">
                  <c:v>-11.374953099657228</c:v>
                </c:pt>
                <c:pt idx="64">
                  <c:v>-12.075783958499066</c:v>
                </c:pt>
                <c:pt idx="65">
                  <c:v>-12.817027460634787</c:v>
                </c:pt>
                <c:pt idx="66">
                  <c:v>-13.600483138279156</c:v>
                </c:pt>
                <c:pt idx="67">
                  <c:v>-14.427928552311434</c:v>
                </c:pt>
                <c:pt idx="68">
                  <c:v>-15.301096362582202</c:v>
                </c:pt>
                <c:pt idx="69">
                  <c:v>-16.221647423442462</c:v>
                </c:pt>
                <c:pt idx="70">
                  <c:v>-17.191139650437155</c:v>
                </c:pt>
                <c:pt idx="71">
                  <c:v>-18.210992503162743</c:v>
                </c:pt>
                <c:pt idx="72">
                  <c:v>-19.282447072840149</c:v>
                </c:pt>
                <c:pt idx="73">
                  <c:v>-20.406521958198322</c:v>
                </c:pt>
                <c:pt idx="74">
                  <c:v>-21.583965364858773</c:v>
                </c:pt>
                <c:pt idx="75">
                  <c:v>-22.81520417296024</c:v>
                </c:pt>
                <c:pt idx="76">
                  <c:v>-24.100291081113195</c:v>
                </c:pt>
                <c:pt idx="77">
                  <c:v>-25.438851339921477</c:v>
                </c:pt>
                <c:pt idx="78">
                  <c:v>-26.830031013502186</c:v>
                </c:pt>
                <c:pt idx="79">
                  <c:v>-28.2724491196645</c:v>
                </c:pt>
                <c:pt idx="80">
                  <c:v>-29.764156354399585</c:v>
                </c:pt>
                <c:pt idx="81">
                  <c:v>-31.30260335043091</c:v>
                </c:pt>
                <c:pt idx="82">
                  <c:v>-32.884621494262198</c:v>
                </c:pt>
                <c:pt idx="83">
                  <c:v>-34.506419175507403</c:v>
                </c:pt>
                <c:pt idx="84">
                  <c:v>-36.163595922812732</c:v>
                </c:pt>
                <c:pt idx="85">
                  <c:v>-37.851176172540072</c:v>
                </c:pt>
                <c:pt idx="86">
                  <c:v>-39.563663433664836</c:v>
                </c:pt>
                <c:pt idx="87">
                  <c:v>-41.295114409760536</c:v>
                </c:pt>
                <c:pt idx="88">
                  <c:v>-43.039231312269678</c:v>
                </c:pt>
                <c:pt idx="89">
                  <c:v>-44.789469277411179</c:v>
                </c:pt>
                <c:pt idx="90">
                  <c:v>-46.539154628138981</c:v>
                </c:pt>
                <c:pt idx="91">
                  <c:v>-48.281608843558757</c:v>
                </c:pt>
                <c:pt idx="92">
                  <c:v>-50.010272623071856</c:v>
                </c:pt>
                <c:pt idx="93">
                  <c:v>-51.71882442373402</c:v>
                </c:pt>
                <c:pt idx="94">
                  <c:v>-53.401288308039852</c:v>
                </c:pt>
                <c:pt idx="95">
                  <c:v>-55.05212680522385</c:v>
                </c:pt>
                <c:pt idx="96">
                  <c:v>-56.666315651713774</c:v>
                </c:pt>
                <c:pt idx="97">
                  <c:v>-58.239398595228124</c:v>
                </c:pt>
                <c:pt idx="98">
                  <c:v>-59.767521775892071</c:v>
                </c:pt>
                <c:pt idx="99">
                  <c:v>-61.247448406705416</c:v>
                </c:pt>
                <c:pt idx="100">
                  <c:v>-62.676555467625604</c:v>
                </c:pt>
                <c:pt idx="101">
                  <c:v>-64.052814846134225</c:v>
                </c:pt>
                <c:pt idx="102">
                  <c:v>-65.374761786953115</c:v>
                </c:pt>
                <c:pt idx="103">
                  <c:v>-66.641453673345225</c:v>
                </c:pt>
                <c:pt idx="104">
                  <c:v>-67.852422094975836</c:v>
                </c:pt>
                <c:pt idx="105">
                  <c:v>-69.00762091829327</c:v>
                </c:pt>
                <c:pt idx="106">
                  <c:v>-70.107372723387442</c:v>
                </c:pt>
                <c:pt idx="107">
                  <c:v>-71.152315560209431</c:v>
                </c:pt>
                <c:pt idx="108">
                  <c:v>-72.143351551585368</c:v>
                </c:pt>
                <c:pt idx="109">
                  <c:v>-73.081598464030833</c:v>
                </c:pt>
                <c:pt idx="110">
                  <c:v>-73.968345002142044</c:v>
                </c:pt>
                <c:pt idx="111">
                  <c:v>-74.805010270607582</c:v>
                </c:pt>
                <c:pt idx="112">
                  <c:v>-75.593107594085268</c:v>
                </c:pt>
                <c:pt idx="113">
                  <c:v>-76.334212688044772</c:v>
                </c:pt>
                <c:pt idx="114">
                  <c:v>-77.029936028281867</c:v>
                </c:pt>
                <c:pt idx="115">
                  <c:v>-77.681899166166332</c:v>
                </c:pt>
                <c:pt idx="116">
                  <c:v>-78.291714673095356</c:v>
                </c:pt>
                <c:pt idx="117">
                  <c:v>-78.86096936344515</c:v>
                </c:pt>
                <c:pt idx="118">
                  <c:v>-79.391210433554718</c:v>
                </c:pt>
                <c:pt idx="119">
                  <c:v>-79.883934158888508</c:v>
                </c:pt>
                <c:pt idx="120">
                  <c:v>-80.340576807448983</c:v>
                </c:pt>
                <c:pt idx="121">
                  <c:v>-80.762507450733835</c:v>
                </c:pt>
                <c:pt idx="122">
                  <c:v>-81.151022380927287</c:v>
                </c:pt>
                <c:pt idx="123">
                  <c:v>-81.507340872261963</c:v>
                </c:pt>
                <c:pt idx="124">
                  <c:v>-81.832602053935204</c:v>
                </c:pt>
                <c:pt idx="125">
                  <c:v>-82.127862690454464</c:v>
                </c:pt>
                <c:pt idx="126">
                  <c:v>-82.394095692125092</c:v>
                </c:pt>
                <c:pt idx="127">
                  <c:v>-82.632189203144534</c:v>
                </c:pt>
                <c:pt idx="128">
                  <c:v>-82.842946137261421</c:v>
                </c:pt>
                <c:pt idx="129">
                  <c:v>-83.027084051166227</c:v>
                </c:pt>
                <c:pt idx="130">
                  <c:v>-83.185235263807513</c:v>
                </c:pt>
                <c:pt idx="131">
                  <c:v>-83.317947145819645</c:v>
                </c:pt>
                <c:pt idx="132">
                  <c:v>-83.425682517438872</c:v>
                </c:pt>
                <c:pt idx="133">
                  <c:v>-83.508820105895026</c:v>
                </c:pt>
                <c:pt idx="134">
                  <c:v>-83.567655024558576</c:v>
                </c:pt>
                <c:pt idx="135">
                  <c:v>-83.602399246344902</c:v>
                </c:pt>
                <c:pt idx="136">
                  <c:v>-83.613182053292022</c:v>
                </c:pt>
                <c:pt idx="137">
                  <c:v>-83.600050453082403</c:v>
                </c:pt>
                <c:pt idx="138">
                  <c:v>-83.5629695618249</c:v>
                </c:pt>
                <c:pt idx="139">
                  <c:v>-83.5018229609027</c:v>
                </c:pt>
                <c:pt idx="140">
                  <c:v>-83.416413044366493</c:v>
                </c:pt>
                <c:pt idx="141">
                  <c:v>-83.306461382467688</c:v>
                </c:pt>
                <c:pt idx="142">
                  <c:v>-83.171609136728549</c:v>
                </c:pt>
                <c:pt idx="143">
                  <c:v>-83.011417572692821</c:v>
                </c:pt>
                <c:pt idx="144">
                  <c:v>-82.825368728446676</c:v>
                </c:pt>
                <c:pt idx="145">
                  <c:v>-82.612866310399383</c:v>
                </c:pt>
                <c:pt idx="146">
                  <c:v>-82.373236902914059</c:v>
                </c:pt>
                <c:pt idx="147">
                  <c:v>-82.10573159540364</c:v>
                </c:pt>
                <c:pt idx="148">
                  <c:v>-81.809528149658718</c:v>
                </c:pt>
                <c:pt idx="149">
                  <c:v>-81.483733851571529</c:v>
                </c:pt>
                <c:pt idx="150">
                  <c:v>-81.127389215123486</c:v>
                </c:pt>
                <c:pt idx="151">
                  <c:v>-80.739472732408217</c:v>
                </c:pt>
                <c:pt idx="152">
                  <c:v>-80.318906891292016</c:v>
                </c:pt>
                <c:pt idx="153">
                  <c:v>-79.864565711511219</c:v>
                </c:pt>
                <c:pt idx="154">
                  <c:v>-79.375284079672412</c:v>
                </c:pt>
                <c:pt idx="155">
                  <c:v>-78.849869192377128</c:v>
                </c:pt>
                <c:pt idx="156">
                  <c:v>-78.287114442571095</c:v>
                </c:pt>
                <c:pt idx="157">
                  <c:v>-77.685816104547811</c:v>
                </c:pt>
                <c:pt idx="158">
                  <c:v>-77.0447931842522</c:v>
                </c:pt>
                <c:pt idx="159">
                  <c:v>-76.362910799144842</c:v>
                </c:pt>
                <c:pt idx="160">
                  <c:v>-75.639107430344211</c:v>
                </c:pt>
                <c:pt idx="161">
                  <c:v>-74.872426342542155</c:v>
                </c:pt>
                <c:pt idx="162">
                  <c:v>-74.062051386930293</c:v>
                </c:pt>
                <c:pt idx="163">
                  <c:v>-73.207347281315336</c:v>
                </c:pt>
                <c:pt idx="164">
                  <c:v>-72.307904292235307</c:v>
                </c:pt>
                <c:pt idx="165">
                  <c:v>-71.363587020038352</c:v>
                </c:pt>
                <c:pt idx="166">
                  <c:v>-70.374586706121903</c:v>
                </c:pt>
                <c:pt idx="167">
                  <c:v>-69.341476143040538</c:v>
                </c:pt>
                <c:pt idx="168">
                  <c:v>-68.265265880886076</c:v>
                </c:pt>
                <c:pt idx="169">
                  <c:v>-67.147460003989934</c:v>
                </c:pt>
                <c:pt idx="170">
                  <c:v>-65.99010932804147</c:v>
                </c:pt>
                <c:pt idx="171">
                  <c:v>-64.795859478000963</c:v>
                </c:pt>
                <c:pt idx="172">
                  <c:v>-63.567991001218999</c:v>
                </c:pt>
                <c:pt idx="173">
                  <c:v>-62.31044850477452</c:v>
                </c:pt>
                <c:pt idx="174">
                  <c:v>-61.027855839467477</c:v>
                </c:pt>
                <c:pt idx="175">
                  <c:v>-59.725514635927944</c:v>
                </c:pt>
                <c:pt idx="176">
                  <c:v>-58.409384063545794</c:v>
                </c:pt>
                <c:pt idx="177">
                  <c:v>-57.086040533777485</c:v>
                </c:pt>
                <c:pt idx="178">
                  <c:v>-55.762617171165033</c:v>
                </c:pt>
                <c:pt idx="179">
                  <c:v>-54.446724151684151</c:v>
                </c:pt>
                <c:pt idx="180">
                  <c:v>-53.146352344260698</c:v>
                </c:pt>
                <c:pt idx="181">
                  <c:v>-51.869763947058459</c:v>
                </c:pt>
                <c:pt idx="182">
                  <c:v>-50.62537483873875</c:v>
                </c:pt>
                <c:pt idx="183">
                  <c:v>-49.421634037211462</c:v>
                </c:pt>
                <c:pt idx="184">
                  <c:v>-48.266905885579291</c:v>
                </c:pt>
                <c:pt idx="185">
                  <c:v>-47.169360335137043</c:v>
                </c:pt>
                <c:pt idx="186">
                  <c:v>-46.136875999393219</c:v>
                </c:pt>
                <c:pt idx="187">
                  <c:v>-45.176959599117851</c:v>
                </c:pt>
                <c:pt idx="188">
                  <c:v>-44.296684134785608</c:v>
                </c:pt>
                <c:pt idx="189">
                  <c:v>-43.50264675564101</c:v>
                </c:pt>
                <c:pt idx="190">
                  <c:v>-42.800945983951806</c:v>
                </c:pt>
                <c:pt idx="191">
                  <c:v>-42.197176813222654</c:v>
                </c:pt>
                <c:pt idx="192">
                  <c:v>-41.696441306611348</c:v>
                </c:pt>
                <c:pt idx="193">
                  <c:v>-41.303371711348923</c:v>
                </c:pt>
                <c:pt idx="194">
                  <c:v>-41.022162773651218</c:v>
                </c:pt>
                <c:pt idx="195">
                  <c:v>-40.856609854514879</c:v>
                </c:pt>
                <c:pt idx="196">
                  <c:v>-40.810149560286554</c:v>
                </c:pt>
                <c:pt idx="197">
                  <c:v>-40.885899856543205</c:v>
                </c:pt>
                <c:pt idx="198">
                  <c:v>-41.086696975273121</c:v>
                </c:pt>
                <c:pt idx="199">
                  <c:v>-41.415126807756721</c:v>
                </c:pt>
                <c:pt idx="200">
                  <c:v>-41.873548864724313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71456"/>
        <c:axId val="109573248"/>
      </c:scatterChart>
      <c:valAx>
        <c:axId val="10957145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73248"/>
        <c:crosses val="autoZero"/>
        <c:crossBetween val="midCat"/>
      </c:valAx>
      <c:valAx>
        <c:axId val="10957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571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|Vout / Verr| (Power Stage)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tool'!$AJ$2:$AJ$202</c:f>
              <c:numCache>
                <c:formatCode>General</c:formatCode>
                <c:ptCount val="201"/>
                <c:pt idx="0">
                  <c:v>18.260071742048162</c:v>
                </c:pt>
                <c:pt idx="1">
                  <c:v>18.260071690807042</c:v>
                </c:pt>
                <c:pt idx="2">
                  <c:v>18.260071632858462</c:v>
                </c:pt>
                <c:pt idx="3">
                  <c:v>18.260071567324406</c:v>
                </c:pt>
                <c:pt idx="4">
                  <c:v>18.260071493211957</c:v>
                </c:pt>
                <c:pt idx="5">
                  <c:v>18.260071409398183</c:v>
                </c:pt>
                <c:pt idx="6">
                  <c:v>18.260071314613178</c:v>
                </c:pt>
                <c:pt idx="7">
                  <c:v>18.26007120742079</c:v>
                </c:pt>
                <c:pt idx="8">
                  <c:v>18.260071086196934</c:v>
                </c:pt>
                <c:pt idx="9">
                  <c:v>18.260070949104886</c:v>
                </c:pt>
                <c:pt idx="10">
                  <c:v>18.26007079406747</c:v>
                </c:pt>
                <c:pt idx="11">
                  <c:v>18.260070618735668</c:v>
                </c:pt>
                <c:pt idx="12">
                  <c:v>18.260070420452912</c:v>
                </c:pt>
                <c:pt idx="13">
                  <c:v>18.260070196214961</c:v>
                </c:pt>
                <c:pt idx="14">
                  <c:v>18.260069942624231</c:v>
                </c:pt>
                <c:pt idx="15">
                  <c:v>18.2600696558385</c:v>
                </c:pt>
                <c:pt idx="16">
                  <c:v>18.260069331512526</c:v>
                </c:pt>
                <c:pt idx="17">
                  <c:v>18.260068964732287</c:v>
                </c:pt>
                <c:pt idx="18">
                  <c:v>18.260068549940538</c:v>
                </c:pt>
                <c:pt idx="19">
                  <c:v>18.260068080852548</c:v>
                </c:pt>
                <c:pt idx="20">
                  <c:v>18.260067550361004</c:v>
                </c:pt>
                <c:pt idx="21">
                  <c:v>18.260066950428143</c:v>
                </c:pt>
                <c:pt idx="22">
                  <c:v>18.260066271964149</c:v>
                </c:pt>
                <c:pt idx="23">
                  <c:v>18.260065504689301</c:v>
                </c:pt>
                <c:pt idx="24">
                  <c:v>18.260064636978278</c:v>
                </c:pt>
                <c:pt idx="25">
                  <c:v>18.26006365568405</c:v>
                </c:pt>
                <c:pt idx="26">
                  <c:v>18.26006254593862</c:v>
                </c:pt>
                <c:pt idx="27">
                  <c:v>18.260061290927801</c:v>
                </c:pt>
                <c:pt idx="28">
                  <c:v>18.260059871636415</c:v>
                </c:pt>
                <c:pt idx="29">
                  <c:v>18.26005826656025</c:v>
                </c:pt>
                <c:pt idx="30">
                  <c:v>18.260056451380258</c:v>
                </c:pt>
                <c:pt idx="31">
                  <c:v>18.260054398593994</c:v>
                </c:pt>
                <c:pt idx="32">
                  <c:v>18.260052077099065</c:v>
                </c:pt>
                <c:pt idx="33">
                  <c:v>18.260049451721798</c:v>
                </c:pt>
                <c:pt idx="34">
                  <c:v>18.260046482684405</c:v>
                </c:pt>
                <c:pt idx="35">
                  <c:v>18.260043125002309</c:v>
                </c:pt>
                <c:pt idx="36">
                  <c:v>18.260039327802527</c:v>
                </c:pt>
                <c:pt idx="37">
                  <c:v>18.260035033553084</c:v>
                </c:pt>
                <c:pt idx="38">
                  <c:v>18.260030177191254</c:v>
                </c:pt>
                <c:pt idx="39">
                  <c:v>18.260024685137914</c:v>
                </c:pt>
                <c:pt idx="40">
                  <c:v>18.260018474182822</c:v>
                </c:pt>
                <c:pt idx="41">
                  <c:v>18.260011450224059</c:v>
                </c:pt>
                <c:pt idx="42">
                  <c:v>18.260003506842356</c:v>
                </c:pt>
                <c:pt idx="43">
                  <c:v>18.259994523689024</c:v>
                </c:pt>
                <c:pt idx="44">
                  <c:v>18.259984364662781</c:v>
                </c:pt>
                <c:pt idx="45">
                  <c:v>18.259972875848039</c:v>
                </c:pt>
                <c:pt idx="46">
                  <c:v>18.259959883183374</c:v>
                </c:pt>
                <c:pt idx="47">
                  <c:v>18.25994518982499</c:v>
                </c:pt>
                <c:pt idx="48">
                  <c:v>18.259928573165009</c:v>
                </c:pt>
                <c:pt idx="49">
                  <c:v>18.259909781459868</c:v>
                </c:pt>
                <c:pt idx="50">
                  <c:v>18.259888530017363</c:v>
                </c:pt>
                <c:pt idx="51">
                  <c:v>18.259864496885093</c:v>
                </c:pt>
                <c:pt idx="52">
                  <c:v>18.259837317974632</c:v>
                </c:pt>
                <c:pt idx="53">
                  <c:v>18.259806581548123</c:v>
                </c:pt>
                <c:pt idx="54">
                  <c:v>18.259771821983655</c:v>
                </c:pt>
                <c:pt idx="55">
                  <c:v>18.259732512725385</c:v>
                </c:pt>
                <c:pt idx="56">
                  <c:v>18.259688058311564</c:v>
                </c:pt>
                <c:pt idx="57">
                  <c:v>18.259637785360614</c:v>
                </c:pt>
                <c:pt idx="58">
                  <c:v>18.259580932378626</c:v>
                </c:pt>
                <c:pt idx="59">
                  <c:v>18.259516638234668</c:v>
                </c:pt>
                <c:pt idx="60">
                  <c:v>18.25944392913031</c:v>
                </c:pt>
                <c:pt idx="61">
                  <c:v>18.259361703866603</c:v>
                </c:pt>
                <c:pt idx="62">
                  <c:v>18.259268717186764</c:v>
                </c:pt>
                <c:pt idx="63">
                  <c:v>18.259163560943904</c:v>
                </c:pt>
                <c:pt idx="64">
                  <c:v>18.259044642810448</c:v>
                </c:pt>
                <c:pt idx="65">
                  <c:v>18.258910162209663</c:v>
                </c:pt>
                <c:pt idx="66">
                  <c:v>18.258758083107654</c:v>
                </c:pt>
                <c:pt idx="67">
                  <c:v>18.258586103258672</c:v>
                </c:pt>
                <c:pt idx="68">
                  <c:v>18.258391619442889</c:v>
                </c:pt>
                <c:pt idx="69">
                  <c:v>18.258171688177598</c:v>
                </c:pt>
                <c:pt idx="70">
                  <c:v>18.25792298131578</c:v>
                </c:pt>
                <c:pt idx="71">
                  <c:v>18.257641735871271</c:v>
                </c:pt>
                <c:pt idx="72">
                  <c:v>18.257323697325337</c:v>
                </c:pt>
                <c:pt idx="73">
                  <c:v>18.256964055575686</c:v>
                </c:pt>
                <c:pt idx="74">
                  <c:v>18.2565573725816</c:v>
                </c:pt>
                <c:pt idx="75">
                  <c:v>18.256097500641502</c:v>
                </c:pt>
                <c:pt idx="76">
                  <c:v>18.255577490104805</c:v>
                </c:pt>
                <c:pt idx="77">
                  <c:v>18.254989485172025</c:v>
                </c:pt>
                <c:pt idx="78">
                  <c:v>18.25432460627059</c:v>
                </c:pt>
                <c:pt idx="79">
                  <c:v>18.253572817308907</c:v>
                </c:pt>
                <c:pt idx="80">
                  <c:v>18.252722775905415</c:v>
                </c:pt>
                <c:pt idx="81">
                  <c:v>18.251761664461586</c:v>
                </c:pt>
                <c:pt idx="82">
                  <c:v>18.250674999695448</c:v>
                </c:pt>
                <c:pt idx="83">
                  <c:v>18.249446417974298</c:v>
                </c:pt>
                <c:pt idx="84">
                  <c:v>18.248057433481023</c:v>
                </c:pt>
                <c:pt idx="85">
                  <c:v>18.246487165914658</c:v>
                </c:pt>
                <c:pt idx="86">
                  <c:v>18.24471203406539</c:v>
                </c:pt>
                <c:pt idx="87">
                  <c:v>18.242705411213542</c:v>
                </c:pt>
                <c:pt idx="88">
                  <c:v>18.240437237886272</c:v>
                </c:pt>
                <c:pt idx="89">
                  <c:v>18.237873587064257</c:v>
                </c:pt>
                <c:pt idx="90">
                  <c:v>18.234976176471065</c:v>
                </c:pt>
                <c:pt idx="91">
                  <c:v>18.231701822105485</c:v>
                </c:pt>
                <c:pt idx="92">
                  <c:v>18.228001826703945</c:v>
                </c:pt>
                <c:pt idx="93">
                  <c:v>18.223821296361141</c:v>
                </c:pt>
                <c:pt idx="94">
                  <c:v>18.219098378111983</c:v>
                </c:pt>
                <c:pt idx="95">
                  <c:v>18.213763410916698</c:v>
                </c:pt>
                <c:pt idx="96">
                  <c:v>18.207737982227354</c:v>
                </c:pt>
                <c:pt idx="97">
                  <c:v>18.20093388219798</c:v>
                </c:pt>
                <c:pt idx="98">
                  <c:v>18.193251947690566</c:v>
                </c:pt>
                <c:pt idx="99">
                  <c:v>18.184580788602073</c:v>
                </c:pt>
                <c:pt idx="100">
                  <c:v>18.17479538978872</c:v>
                </c:pt>
                <c:pt idx="101">
                  <c:v>18.163755583106141</c:v>
                </c:pt>
                <c:pt idx="102">
                  <c:v>18.151304385960607</c:v>
                </c:pt>
                <c:pt idx="103">
                  <c:v>18.137266205438795</c:v>
                </c:pt>
                <c:pt idx="104">
                  <c:v>18.121444910744867</c:v>
                </c:pt>
                <c:pt idx="105">
                  <c:v>18.10362178153888</c:v>
                </c:pt>
                <c:pt idx="106">
                  <c:v>18.083553346074968</c:v>
                </c:pt>
                <c:pt idx="107">
                  <c:v>18.060969131028997</c:v>
                </c:pt>
                <c:pt idx="108">
                  <c:v>18.035569354820527</c:v>
                </c:pt>
                <c:pt idx="109">
                  <c:v>18.007022608285979</c:v>
                </c:pt>
                <c:pt idx="110">
                  <c:v>17.974963580885643</c:v>
                </c:pt>
                <c:pt idx="111">
                  <c:v>17.938990907254428</c:v>
                </c:pt>
                <c:pt idx="112">
                  <c:v>17.898665227672886</c:v>
                </c:pt>
                <c:pt idx="113">
                  <c:v>17.853507576521189</c:v>
                </c:pt>
                <c:pt idx="114">
                  <c:v>17.802998234206367</c:v>
                </c:pt>
                <c:pt idx="115">
                  <c:v>17.746576199191676</c:v>
                </c:pt>
                <c:pt idx="116">
                  <c:v>17.683639455836065</c:v>
                </c:pt>
                <c:pt idx="117">
                  <c:v>17.613546228392316</c:v>
                </c:pt>
                <c:pt idx="118">
                  <c:v>17.535617418738912</c:v>
                </c:pt>
                <c:pt idx="119">
                  <c:v>17.449140421734988</c:v>
                </c:pt>
                <c:pt idx="120">
                  <c:v>17.353374493713357</c:v>
                </c:pt>
                <c:pt idx="121">
                  <c:v>17.247557812894474</c:v>
                </c:pt>
                <c:pt idx="122">
                  <c:v>17.130916312433708</c:v>
                </c:pt>
                <c:pt idx="123">
                  <c:v>17.002674285867364</c:v>
                </c:pt>
                <c:pt idx="124">
                  <c:v>16.862066661635215</c:v>
                </c:pt>
                <c:pt idx="125">
                  <c:v>16.708352721939647</c:v>
                </c:pt>
                <c:pt idx="126">
                  <c:v>16.540830908887632</c:v>
                </c:pt>
                <c:pt idx="127">
                  <c:v>16.358854228782736</c:v>
                </c:pt>
                <c:pt idx="128">
                  <c:v>16.161845647782037</c:v>
                </c:pt>
                <c:pt idx="129">
                  <c:v>15.949312784721982</c:v>
                </c:pt>
                <c:pt idx="130">
                  <c:v>15.720861164960468</c:v>
                </c:pt>
                <c:pt idx="131">
                  <c:v>15.476205314510711</c:v>
                </c:pt>
                <c:pt idx="132">
                  <c:v>15.215177052545432</c:v>
                </c:pt>
                <c:pt idx="133">
                  <c:v>14.937730480597933</c:v>
                </c:pt>
                <c:pt idx="134">
                  <c:v>14.643943357932539</c:v>
                </c:pt>
                <c:pt idx="135">
                  <c:v>14.33401477636745</c:v>
                </c:pt>
                <c:pt idx="136">
                  <c:v>14.008259280910796</c:v>
                </c:pt>
                <c:pt idx="137">
                  <c:v>13.667097800043532</c:v>
                </c:pt>
                <c:pt idx="138">
                  <c:v>13.31104592896294</c:v>
                </c:pt>
                <c:pt idx="139">
                  <c:v>12.940700234160261</c:v>
                </c:pt>
                <c:pt idx="140">
                  <c:v>12.556723309998199</c:v>
                </c:pt>
                <c:pt idx="141">
                  <c:v>12.159828317719693</c:v>
                </c:pt>
                <c:pt idx="142">
                  <c:v>11.75076368231116</c:v>
                </c:pt>
                <c:pt idx="143">
                  <c:v>11.330298525904398</c:v>
                </c:pt>
                <c:pt idx="144">
                  <c:v>10.899209293544887</c:v>
                </c:pt>
                <c:pt idx="145">
                  <c:v>10.458267893761008</c:v>
                </c:pt>
                <c:pt idx="146">
                  <c:v>10.008231545945298</c:v>
                </c:pt>
                <c:pt idx="147">
                  <c:v>9.5498344093130889</c:v>
                </c:pt>
                <c:pt idx="148">
                  <c:v>9.0837809706010635</c:v>
                </c:pt>
                <c:pt idx="149">
                  <c:v>8.6107410926624617</c:v>
                </c:pt>
                <c:pt idx="150">
                  <c:v>8.1313465737728325</c:v>
                </c:pt>
                <c:pt idx="151">
                  <c:v>7.6461890357915099</c:v>
                </c:pt>
                <c:pt idx="152">
                  <c:v>7.1558189451071508</c:v>
                </c:pt>
                <c:pt idx="153">
                  <c:v>6.6607455697839546</c:v>
                </c:pt>
                <c:pt idx="154">
                  <c:v>6.161437685783274</c:v>
                </c:pt>
                <c:pt idx="155">
                  <c:v>5.6583248611879426</c:v>
                </c:pt>
                <c:pt idx="156">
                  <c:v>5.1517991671698926</c:v>
                </c:pt>
                <c:pt idx="157">
                  <c:v>4.6422171858079224</c:v>
                </c:pt>
                <c:pt idx="158">
                  <c:v>4.1299022061460713</c:v>
                </c:pt>
                <c:pt idx="159">
                  <c:v>3.615146519989664</c:v>
                </c:pt>
                <c:pt idx="160">
                  <c:v>3.0982137471809308</c:v>
                </c:pt>
                <c:pt idx="161">
                  <c:v>2.5793411361429524</c:v>
                </c:pt>
                <c:pt idx="162">
                  <c:v>2.0587417992127151</c:v>
                </c:pt>
                <c:pt idx="163">
                  <c:v>1.5366068537728363</c:v>
                </c:pt>
                <c:pt idx="164">
                  <c:v>1.0131074495928292</c:v>
                </c:pt>
                <c:pt idx="165">
                  <c:v>0.48839667032480782</c:v>
                </c:pt>
                <c:pt idx="166">
                  <c:v>-3.7388696991977541E-2</c:v>
                </c:pt>
                <c:pt idx="167">
                  <c:v>-0.56412652602695323</c:v>
                </c:pt>
                <c:pt idx="168">
                  <c:v>-1.0917078470836845</c:v>
                </c:pt>
                <c:pt idx="169">
                  <c:v>-1.6200354706390483</c:v>
                </c:pt>
                <c:pt idx="170">
                  <c:v>-2.1490227325933171</c:v>
                </c:pt>
                <c:pt idx="171">
                  <c:v>-2.6785923542436105</c:v>
                </c:pt>
                <c:pt idx="172">
                  <c:v>-3.2086754093753682</c:v>
                </c:pt>
                <c:pt idx="173">
                  <c:v>-3.7392103906143253</c:v>
                </c:pt>
                <c:pt idx="174">
                  <c:v>-4.2701423672051595</c:v>
                </c:pt>
                <c:pt idx="175">
                  <c:v>-4.8014222266157578</c:v>
                </c:pt>
                <c:pt idx="176">
                  <c:v>-5.3330059927636118</c:v>
                </c:pt>
                <c:pt idx="177">
                  <c:v>-5.8648542141749456</c:v>
                </c:pt>
                <c:pt idx="178">
                  <c:v>-6.3969314160091617</c:v>
                </c:pt>
                <c:pt idx="179">
                  <c:v>-6.9292056105846287</c:v>
                </c:pt>
                <c:pt idx="180">
                  <c:v>-7.4616478618360897</c:v>
                </c:pt>
                <c:pt idx="181">
                  <c:v>-7.9942319000175699</c:v>
                </c:pt>
                <c:pt idx="182">
                  <c:v>-8.5269337839629316</c:v>
                </c:pt>
                <c:pt idx="183">
                  <c:v>-9.0597316093519762</c:v>
                </c:pt>
                <c:pt idx="184">
                  <c:v>-9.592605262744879</c:v>
                </c:pt>
                <c:pt idx="185">
                  <c:v>-10.125536222697908</c:v>
                </c:pt>
                <c:pt idx="186">
                  <c:v>-10.658507411118212</c:v>
                </c:pt>
                <c:pt idx="187">
                  <c:v>-11.191503100253586</c:v>
                </c:pt>
                <c:pt idx="188">
                  <c:v>-11.724508883439018</c:v>
                </c:pt>
                <c:pt idx="189">
                  <c:v>-12.257511721079661</c:v>
                </c:pt>
                <c:pt idx="190">
                  <c:v>-12.790500077494189</c:v>
                </c:pt>
                <c:pt idx="191">
                  <c:v>-13.32346416937372</c:v>
                </c:pt>
                <c:pt idx="192">
                  <c:v>-13.856396352966174</c:v>
                </c:pt>
                <c:pt idx="193">
                  <c:v>-14.389291684947953</c:v>
                </c:pt>
                <c:pt idx="194">
                  <c:v>-14.922148701621108</c:v>
                </c:pt>
                <c:pt idx="195">
                  <c:v>-15.454970472932176</c:v>
                </c:pt>
                <c:pt idx="196">
                  <c:v>-15.987766002247126</c:v>
                </c:pt>
                <c:pt idx="197">
                  <c:v>-16.520552060237087</c:v>
                </c:pt>
                <c:pt idx="198">
                  <c:v>-17.053355562004903</c:v>
                </c:pt>
                <c:pt idx="199">
                  <c:v>-17.586216620991173</c:v>
                </c:pt>
                <c:pt idx="200">
                  <c:v>-18.119192441307053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52320"/>
        <c:axId val="111753856"/>
      </c:scatterChart>
      <c:valAx>
        <c:axId val="1117523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753856"/>
        <c:crosses val="autoZero"/>
        <c:crossBetween val="midCat"/>
      </c:valAx>
      <c:valAx>
        <c:axId val="111753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752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Phase of Vloop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'Design tool'!$AT$1</c:f>
              <c:strCache>
                <c:ptCount val="1"/>
                <c:pt idx="0">
                  <c:v>°</c:v>
                </c:pt>
              </c:strCache>
            </c:strRef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tool'!$AT$2:$AT$202</c:f>
              <c:numCache>
                <c:formatCode>General</c:formatCode>
                <c:ptCount val="201"/>
                <c:pt idx="0">
                  <c:v>178.90493149832653</c:v>
                </c:pt>
                <c:pt idx="1">
                  <c:v>178.83548080481174</c:v>
                </c:pt>
                <c:pt idx="2">
                  <c:v>178.76162797457641</c:v>
                </c:pt>
                <c:pt idx="3">
                  <c:v>178.68309448793016</c:v>
                </c:pt>
                <c:pt idx="4">
                  <c:v>178.5995843067634</c:v>
                </c:pt>
                <c:pt idx="5">
                  <c:v>178.51078279360684</c:v>
                </c:pt>
                <c:pt idx="6">
                  <c:v>178.41635556825472</c:v>
                </c:pt>
                <c:pt idx="7">
                  <c:v>178.31594729922685</c:v>
                </c:pt>
                <c:pt idx="8">
                  <c:v>178.20918042741897</c:v>
                </c:pt>
                <c:pt idx="9">
                  <c:v>178.09565381941894</c:v>
                </c:pt>
                <c:pt idx="10">
                  <c:v>177.97494134816318</c:v>
                </c:pt>
                <c:pt idx="11">
                  <c:v>177.84659039888444</c:v>
                </c:pt>
                <c:pt idx="12">
                  <c:v>177.71012029868183</c:v>
                </c:pt>
                <c:pt idx="13">
                  <c:v>177.56502066854796</c:v>
                </c:pt>
                <c:pt idx="14">
                  <c:v>177.41074969734086</c:v>
                </c:pt>
                <c:pt idx="15">
                  <c:v>177.24673233802588</c:v>
                </c:pt>
                <c:pt idx="16">
                  <c:v>177.07235842757021</c:v>
                </c:pt>
                <c:pt idx="17">
                  <c:v>176.8869807331946</c:v>
                </c:pt>
                <c:pt idx="18">
                  <c:v>176.6899129293293</c:v>
                </c:pt>
                <c:pt idx="19">
                  <c:v>176.4804275116434</c:v>
                </c:pt>
                <c:pt idx="20">
                  <c:v>176.25775365699224</c:v>
                </c:pt>
                <c:pt idx="21">
                  <c:v>176.0210750411425</c:v>
                </c:pt>
                <c:pt idx="22">
                  <c:v>175.76952762978473</c:v>
                </c:pt>
                <c:pt idx="23">
                  <c:v>175.50219746274226</c:v>
                </c:pt>
                <c:pt idx="24">
                  <c:v>175.21811845656217</c:v>
                </c:pt>
                <c:pt idx="25">
                  <c:v>174.91627025697125</c:v>
                </c:pt>
                <c:pt idx="26">
                  <c:v>174.59557618015867</c:v>
                </c:pt>
                <c:pt idx="27">
                  <c:v>174.25490129068419</c:v>
                </c:pt>
                <c:pt idx="28">
                  <c:v>173.89305067419511</c:v>
                </c:pt>
                <c:pt idx="29">
                  <c:v>173.50876797526092</c:v>
                </c:pt>
                <c:pt idx="30">
                  <c:v>173.10073428470179</c:v>
                </c:pt>
                <c:pt idx="31">
                  <c:v>172.66756747698142</c:v>
                </c:pt>
                <c:pt idx="32">
                  <c:v>172.20782211670848</c:v>
                </c:pt>
                <c:pt idx="33">
                  <c:v>171.71999007415479</c:v>
                </c:pt>
                <c:pt idx="34">
                  <c:v>171.2025020129602</c:v>
                </c:pt>
                <c:pt idx="35">
                  <c:v>170.6537299387459</c:v>
                </c:pt>
                <c:pt idx="36">
                  <c:v>170.07199102488309</c:v>
                </c:pt>
                <c:pt idx="37">
                  <c:v>169.45555296060346</c:v>
                </c:pt>
                <c:pt idx="38">
                  <c:v>168.80264109604468</c:v>
                </c:pt>
                <c:pt idx="39">
                  <c:v>168.1114476873218</c:v>
                </c:pt>
                <c:pt idx="40">
                  <c:v>167.3801435702955</c:v>
                </c:pt>
                <c:pt idx="41">
                  <c:v>166.60689261168127</c:v>
                </c:pt>
                <c:pt idx="42">
                  <c:v>165.78986929691266</c:v>
                </c:pt>
                <c:pt idx="43">
                  <c:v>164.92727981122488</c:v>
                </c:pt>
                <c:pt idx="44">
                  <c:v>164.01738694817573</c:v>
                </c:pt>
                <c:pt idx="45">
                  <c:v>163.05853913172248</c:v>
                </c:pt>
                <c:pt idx="46">
                  <c:v>162.04920375666336</c:v>
                </c:pt>
                <c:pt idx="47">
                  <c:v>160.98800492995056</c:v>
                </c:pt>
                <c:pt idx="48">
                  <c:v>159.87376552464127</c:v>
                </c:pt>
                <c:pt idx="49">
                  <c:v>158.70555323291094</c:v>
                </c:pt>
                <c:pt idx="50">
                  <c:v>157.48273002135954</c:v>
                </c:pt>
                <c:pt idx="51">
                  <c:v>156.20500405206849</c:v>
                </c:pt>
                <c:pt idx="52">
                  <c:v>154.87248274474848</c:v>
                </c:pt>
                <c:pt idx="53">
                  <c:v>153.48572523582658</c:v>
                </c:pt>
                <c:pt idx="54">
                  <c:v>152.04579206729719</c:v>
                </c:pt>
                <c:pt idx="55">
                  <c:v>150.55428955075547</c:v>
                </c:pt>
                <c:pt idx="56">
                  <c:v>149.01340595006494</c:v>
                </c:pt>
                <c:pt idx="57">
                  <c:v>147.42593646656346</c:v>
                </c:pt>
                <c:pt idx="58">
                  <c:v>145.79529405184147</c:v>
                </c:pt>
                <c:pt idx="59">
                  <c:v>144.12550336543364</c:v>
                </c:pt>
                <c:pt idx="60">
                  <c:v>142.4211757702893</c:v>
                </c:pt>
                <c:pt idx="61">
                  <c:v>140.68746412020826</c:v>
                </c:pt>
                <c:pt idx="62">
                  <c:v>138.92999720485713</c:v>
                </c:pt>
                <c:pt idx="63">
                  <c:v>137.15479500212783</c:v>
                </c:pt>
                <c:pt idx="64">
                  <c:v>135.36816722913559</c:v>
                </c:pt>
                <c:pt idx="65">
                  <c:v>133.57659894143794</c:v>
                </c:pt>
                <c:pt idx="66">
                  <c:v>131.78662795870628</c:v>
                </c:pt>
                <c:pt idx="67">
                  <c:v>130.00471956604343</c:v>
                </c:pt>
                <c:pt idx="68">
                  <c:v>128.23714416615982</c:v>
                </c:pt>
                <c:pt idx="69">
                  <c:v>126.48986330879755</c:v>
                </c:pt>
                <c:pt idx="70">
                  <c:v>124.76842883300861</c:v>
                </c:pt>
                <c:pt idx="71">
                  <c:v>123.07789881491763</c:v>
                </c:pt>
                <c:pt idx="72">
                  <c:v>121.42277274785161</c:v>
                </c:pt>
                <c:pt idx="73">
                  <c:v>119.80694703990164</c:v>
                </c:pt>
                <c:pt idx="74">
                  <c:v>118.23369063590557</c:v>
                </c:pt>
                <c:pt idx="75">
                  <c:v>116.70563947021212</c:v>
                </c:pt>
                <c:pt idx="76">
                  <c:v>115.22480760881011</c:v>
                </c:pt>
                <c:pt idx="77">
                  <c:v>113.79261237820282</c:v>
                </c:pt>
                <c:pt idx="78">
                  <c:v>112.40991049951373</c:v>
                </c:pt>
                <c:pt idx="79">
                  <c:v>111.07704221660107</c:v>
                </c:pt>
                <c:pt idx="80">
                  <c:v>109.79388057527029</c:v>
                </c:pt>
                <c:pt idx="81">
                  <c:v>108.55988331871049</c:v>
                </c:pt>
                <c:pt idx="82">
                  <c:v>107.37414525528088</c:v>
                </c:pt>
                <c:pt idx="83">
                  <c:v>106.23544937942889</c:v>
                </c:pt>
                <c:pt idx="84">
                  <c:v>105.14231544624505</c:v>
                </c:pt>
                <c:pt idx="85">
                  <c:v>104.09304508775681</c:v>
                </c:pt>
                <c:pt idx="86">
                  <c:v>103.0857628980019</c:v>
                </c:pt>
                <c:pt idx="87">
                  <c:v>102.11845319652498</c:v>
                </c:pt>
                <c:pt idx="88">
                  <c:v>101.1889924051584</c:v>
                </c:pt>
                <c:pt idx="89">
                  <c:v>100.29517714439342</c:v>
                </c:pt>
                <c:pt idx="90">
                  <c:v>99.43474827959372</c:v>
                </c:pt>
                <c:pt idx="91">
                  <c:v>98.605411231387677</c:v>
                </c:pt>
                <c:pt idx="92">
                  <c:v>97.804852916653502</c:v>
                </c:pt>
                <c:pt idx="93">
                  <c:v>97.030755714074189</c:v>
                </c:pt>
                <c:pt idx="94">
                  <c:v>96.280808857905569</c:v>
                </c:pt>
                <c:pt idx="95">
                  <c:v>95.552717661062417</c:v>
                </c:pt>
                <c:pt idx="96">
                  <c:v>94.844210958512477</c:v>
                </c:pt>
                <c:pt idx="97">
                  <c:v>94.153047147956556</c:v>
                </c:pt>
                <c:pt idx="98">
                  <c:v>93.477019189667288</c:v>
                </c:pt>
                <c:pt idx="99">
                  <c:v>92.813958913231986</c:v>
                </c:pt>
                <c:pt idx="100">
                  <c:v>92.161740967197034</c:v>
                </c:pt>
                <c:pt idx="101">
                  <c:v>91.518286739131241</c:v>
                </c:pt>
                <c:pt idx="102">
                  <c:v>90.881568568800319</c:v>
                </c:pt>
                <c:pt idx="103">
                  <c:v>90.249614575928746</c:v>
                </c:pt>
                <c:pt idx="104">
                  <c:v>89.620514425929827</c:v>
                </c:pt>
                <c:pt idx="105">
                  <c:v>88.992426361063792</c:v>
                </c:pt>
                <c:pt idx="106">
                  <c:v>88.363585829262192</c:v>
                </c:pt>
                <c:pt idx="107">
                  <c:v>87.732316046249224</c:v>
                </c:pt>
                <c:pt idx="108">
                  <c:v>87.097040825817686</c:v>
                </c:pt>
                <c:pt idx="109">
                  <c:v>86.456300004557619</c:v>
                </c:pt>
                <c:pt idx="110">
                  <c:v>85.80876776646096</c:v>
                </c:pt>
                <c:pt idx="111">
                  <c:v>85.153274134106368</c:v>
                </c:pt>
                <c:pt idx="112">
                  <c:v>84.488829830100684</c:v>
                </c:pt>
                <c:pt idx="113">
                  <c:v>83.814654617789117</c:v>
                </c:pt>
                <c:pt idx="114">
                  <c:v>83.130209096201199</c:v>
                </c:pt>
                <c:pt idx="115">
                  <c:v>82.435229743138962</c:v>
                </c:pt>
                <c:pt idx="116">
                  <c:v>81.729766765778123</c:v>
                </c:pt>
                <c:pt idx="117">
                  <c:v>81.014224026150501</c:v>
                </c:pt>
                <c:pt idx="118">
                  <c:v>80.289399959768303</c:v>
                </c:pt>
                <c:pt idx="119">
                  <c:v>79.556528006238466</c:v>
                </c:pt>
                <c:pt idx="120">
                  <c:v>78.817314636605488</c:v>
                </c:pt>
                <c:pt idx="121">
                  <c:v>78.073972619801523</c:v>
                </c:pt>
                <c:pt idx="122">
                  <c:v>77.329246758701288</c:v>
                </c:pt>
                <c:pt idx="123">
                  <c:v>76.586428995765345</c:v>
                </c:pt>
                <c:pt idx="124">
                  <c:v>75.84935959988006</c:v>
                </c:pt>
                <c:pt idx="125">
                  <c:v>75.122411165466389</c:v>
                </c:pt>
                <c:pt idx="126">
                  <c:v>74.410452444567539</c:v>
                </c:pt>
                <c:pt idx="127">
                  <c:v>73.71878964090709</c:v>
                </c:pt>
                <c:pt idx="128">
                  <c:v>73.053083744109074</c:v>
                </c:pt>
                <c:pt idx="129">
                  <c:v>72.419243757492808</c:v>
                </c:pt>
                <c:pt idx="130">
                  <c:v>71.823297214204487</c:v>
                </c:pt>
                <c:pt idx="131">
                  <c:v>71.271241077939905</c:v>
                </c:pt>
                <c:pt idx="132">
                  <c:v>70.768877840845548</c:v>
                </c:pt>
                <c:pt idx="133">
                  <c:v>70.321643192966633</c:v>
                </c:pt>
                <c:pt idx="134">
                  <c:v>69.934432872819144</c:v>
                </c:pt>
                <c:pt idx="135">
                  <c:v>69.611437066430284</c:v>
                </c:pt>
                <c:pt idx="136">
                  <c:v>69.355990894388071</c:v>
                </c:pt>
                <c:pt idx="137">
                  <c:v>69.170449062683716</c:v>
                </c:pt>
                <c:pt idx="138">
                  <c:v>69.056091666684424</c:v>
                </c:pt>
                <c:pt idx="139">
                  <c:v>69.013066502648243</c:v>
                </c:pt>
                <c:pt idx="140">
                  <c:v>69.040371182818575</c:v>
                </c:pt>
                <c:pt idx="141">
                  <c:v>69.13587603034</c:v>
                </c:pt>
                <c:pt idx="142">
                  <c:v>69.296386332774944</c:v>
                </c:pt>
                <c:pt idx="143">
                  <c:v>69.517740247767449</c:v>
                </c:pt>
                <c:pt idx="144">
                  <c:v>69.794936662316857</c:v>
                </c:pt>
                <c:pt idx="145">
                  <c:v>70.122285764587986</c:v>
                </c:pt>
                <c:pt idx="146">
                  <c:v>70.493574110902983</c:v>
                </c:pt>
                <c:pt idx="147">
                  <c:v>70.902235624101323</c:v>
                </c:pt>
                <c:pt idx="148">
                  <c:v>71.341520244450393</c:v>
                </c:pt>
                <c:pt idx="149">
                  <c:v>71.804652809053351</c:v>
                </c:pt>
                <c:pt idx="150">
                  <c:v>72.284976042840157</c:v>
                </c:pt>
                <c:pt idx="151">
                  <c:v>72.776073147413669</c:v>
                </c:pt>
                <c:pt idx="152">
                  <c:v>73.271867199776295</c:v>
                </c:pt>
                <c:pt idx="153">
                  <c:v>73.766696254992596</c:v>
                </c:pt>
                <c:pt idx="154">
                  <c:v>74.255364546068051</c:v>
                </c:pt>
                <c:pt idx="155">
                  <c:v>74.733171392999367</c:v>
                </c:pt>
                <c:pt idx="156">
                  <c:v>75.195920319735094</c:v>
                </c:pt>
                <c:pt idx="157">
                  <c:v>75.639911425327</c:v>
                </c:pt>
                <c:pt idx="158">
                  <c:v>76.061920291874699</c:v>
                </c:pt>
                <c:pt idx="159">
                  <c:v>76.459166688841762</c:v>
                </c:pt>
                <c:pt idx="160">
                  <c:v>76.829276114747415</c:v>
                </c:pt>
                <c:pt idx="161">
                  <c:v>77.170236868407471</c:v>
                </c:pt>
                <c:pt idx="162">
                  <c:v>77.480354922145764</c:v>
                </c:pt>
                <c:pt idx="163">
                  <c:v>77.758208427554976</c:v>
                </c:pt>
                <c:pt idx="164">
                  <c:v>78.00260325690742</c:v>
                </c:pt>
                <c:pt idx="165">
                  <c:v>78.212530594671918</c:v>
                </c:pt>
                <c:pt idx="166">
                  <c:v>78.387127257676283</c:v>
                </c:pt>
                <c:pt idx="167">
                  <c:v>78.525639144836035</c:v>
                </c:pt>
                <c:pt idx="168">
                  <c:v>78.627387997611237</c:v>
                </c:pt>
                <c:pt idx="169">
                  <c:v>78.69174148603399</c:v>
                </c:pt>
                <c:pt idx="170">
                  <c:v>78.71808651569593</c:v>
                </c:pt>
                <c:pt idx="171">
                  <c:v>78.705805570989412</c:v>
                </c:pt>
                <c:pt idx="172">
                  <c:v>78.654255861683694</c:v>
                </c:pt>
                <c:pt idx="173">
                  <c:v>78.562751016678817</c:v>
                </c:pt>
                <c:pt idx="174">
                  <c:v>78.430545064491596</c:v>
                </c:pt>
                <c:pt idx="175">
                  <c:v>78.256818449674526</c:v>
                </c:pt>
                <c:pt idx="176">
                  <c:v>78.040665853915172</c:v>
                </c:pt>
                <c:pt idx="177">
                  <c:v>77.781085616901805</c:v>
                </c:pt>
                <c:pt idx="178">
                  <c:v>77.476970582837112</c:v>
                </c:pt>
                <c:pt idx="179">
                  <c:v>77.127100232065104</c:v>
                </c:pt>
                <c:pt idx="180">
                  <c:v>76.730133992484141</c:v>
                </c:pt>
                <c:pt idx="181">
                  <c:v>76.284605661454279</c:v>
                </c:pt>
                <c:pt idx="182">
                  <c:v>75.788918905270634</c:v>
                </c:pt>
                <c:pt idx="183">
                  <c:v>75.241343839548847</c:v>
                </c:pt>
                <c:pt idx="184">
                  <c:v>74.640014729736251</c:v>
                </c:pt>
                <c:pt idx="185">
                  <c:v>73.982928885988244</c:v>
                </c:pt>
                <c:pt idx="186">
                  <c:v>73.267946860244294</c:v>
                </c:pt>
                <c:pt idx="187">
                  <c:v>72.492794084641901</c:v>
                </c:pt>
                <c:pt idx="188">
                  <c:v>71.655064118141695</c:v>
                </c:pt>
                <c:pt idx="189">
                  <c:v>70.752223690669368</c:v>
                </c:pt>
                <c:pt idx="190">
                  <c:v>69.781619748835737</c:v>
                </c:pt>
                <c:pt idx="191">
                  <c:v>68.740488711402904</c:v>
                </c:pt>
                <c:pt idx="192">
                  <c:v>67.625968132400104</c:v>
                </c:pt>
                <c:pt idx="193">
                  <c:v>66.435110940889302</c:v>
                </c:pt>
                <c:pt idx="194">
                  <c:v>65.164902374156853</c:v>
                </c:pt>
                <c:pt idx="195">
                  <c:v>63.81227964092264</c:v>
                </c:pt>
                <c:pt idx="196">
                  <c:v>62.37415423916093</c:v>
                </c:pt>
                <c:pt idx="197">
                  <c:v>60.847436707329933</c:v>
                </c:pt>
                <c:pt idx="198">
                  <c:v>59.229063409688536</c:v>
                </c:pt>
                <c:pt idx="199">
                  <c:v>57.516024752936119</c:v>
                </c:pt>
                <c:pt idx="200">
                  <c:v>55.705394017716031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82528"/>
        <c:axId val="111792512"/>
      </c:scatterChart>
      <c:valAx>
        <c:axId val="11178252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792512"/>
        <c:crosses val="autoZero"/>
        <c:crossBetween val="midCat"/>
      </c:valAx>
      <c:valAx>
        <c:axId val="11179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782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|Vloop|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155656795747917E-2"/>
          <c:y val="0.14502612166526546"/>
          <c:w val="0.7104696896192868"/>
          <c:h val="0.75399689885887189"/>
        </c:manualLayout>
      </c:layout>
      <c:scatterChart>
        <c:scatterStyle val="smoothMarker"/>
        <c:varyColors val="0"/>
        <c:ser>
          <c:idx val="0"/>
          <c:order val="0"/>
          <c:tx>
            <c:v>db</c:v>
          </c:tx>
          <c:marker>
            <c:symbol val="none"/>
          </c:marker>
          <c:xVal>
            <c:numRef>
              <c:f>'Design tool'!$Z$2:$Z$202</c:f>
              <c:numCache>
                <c:formatCode>General</c:formatCode>
                <c:ptCount val="201"/>
                <c:pt idx="0">
                  <c:v>1</c:v>
                </c:pt>
                <c:pt idx="1">
                  <c:v>1.0634378492473788</c:v>
                </c:pt>
                <c:pt idx="2">
                  <c:v>1.1309000592118907</c:v>
                </c:pt>
                <c:pt idx="3">
                  <c:v>1.2026419266820265</c:v>
                </c:pt>
                <c:pt idx="4">
                  <c:v>1.278934943925458</c:v>
                </c:pt>
                <c:pt idx="5">
                  <c:v>1.3600678260954062</c:v>
                </c:pt>
                <c:pt idx="6">
                  <c:v>1.4463476038134566</c:v>
                </c:pt>
                <c:pt idx="7">
                  <c:v>1.5381007850634825</c:v>
                </c:pt>
                <c:pt idx="8">
                  <c:v>1.6356745907936145</c:v>
                </c:pt>
                <c:pt idx="9">
                  <c:v>1.7394382689021479</c:v>
                </c:pt>
                <c:pt idx="10">
                  <c:v>1.849784491579884</c:v>
                </c:pt>
                <c:pt idx="11">
                  <c:v>1.967130841296868</c:v>
                </c:pt>
                <c:pt idx="12">
                  <c:v>2.0919213910569279</c:v>
                </c:pt>
                <c:pt idx="13">
                  <c:v>2.2246283849001642</c:v>
                </c:pt>
                <c:pt idx="14">
                  <c:v>2.365754025012901</c:v>
                </c:pt>
                <c:pt idx="15">
                  <c:v>2.5158323722080485</c:v>
                </c:pt>
                <c:pt idx="16">
                  <c:v>2.6754313669678584</c:v>
                </c:pt>
                <c:pt idx="17">
                  <c:v>2.8451549786972743</c:v>
                </c:pt>
                <c:pt idx="18">
                  <c:v>3.0256454913213009</c:v>
                </c:pt>
                <c:pt idx="19">
                  <c:v>3.2175859338757533</c:v>
                </c:pt>
                <c:pt idx="20">
                  <c:v>3.42170266528945</c:v>
                </c:pt>
                <c:pt idx="21">
                  <c:v>3.6387681231394358</c:v>
                </c:pt>
                <c:pt idx="22">
                  <c:v>3.8696037467813236</c:v>
                </c:pt>
                <c:pt idx="23">
                  <c:v>4.1150830859167291</c:v>
                </c:pt>
                <c:pt idx="24">
                  <c:v>4.376135106361553</c:v>
                </c:pt>
                <c:pt idx="25">
                  <c:v>4.6537477055250784</c:v>
                </c:pt>
                <c:pt idx="26">
                  <c:v>4.9489714509035139</c:v>
                </c:pt>
                <c:pt idx="27">
                  <c:v>5.2629235557355134</c:v>
                </c:pt>
                <c:pt idx="28">
                  <c:v>5.5967921068647417</c:v>
                </c:pt>
                <c:pt idx="29">
                  <c:v>5.9518405608089449</c:v>
                </c:pt>
                <c:pt idx="30">
                  <c:v>6.3294125250499764</c:v>
                </c:pt>
                <c:pt idx="31">
                  <c:v>6.7309368426385694</c:v>
                </c:pt>
                <c:pt idx="32">
                  <c:v>7.1579329993555039</c:v>
                </c:pt>
                <c:pt idx="33">
                  <c:v>7.6120168738914558</c:v>
                </c:pt>
                <c:pt idx="34">
                  <c:v>8.0949068528058863</c:v>
                </c:pt>
                <c:pt idx="35">
                  <c:v>8.6084303334057619</c:v>
                </c:pt>
                <c:pt idx="36">
                  <c:v>9.1545306391529166</c:v>
                </c:pt>
                <c:pt idx="37">
                  <c:v>9.7352743737700074</c:v>
                </c:pt>
                <c:pt idx="38">
                  <c:v>10.352859241875105</c:v>
                </c:pt>
                <c:pt idx="39">
                  <c:v>11.009622365740512</c:v>
                </c:pt>
                <c:pt idx="40">
                  <c:v>11.708049129648925</c:v>
                </c:pt>
                <c:pt idx="41">
                  <c:v>12.4507825853165</c:v>
                </c:pt>
                <c:pt idx="42">
                  <c:v>13.240633453975693</c:v>
                </c:pt>
                <c:pt idx="43">
                  <c:v>14.080590762968805</c:v>
                </c:pt>
                <c:pt idx="44">
                  <c:v>14.973833157104059</c:v>
                </c:pt>
                <c:pt idx="45">
                  <c:v>15.923740927579823</c:v>
                </c:pt>
                <c:pt idx="46">
                  <c:v>16.933908803997952</c:v>
                </c:pt>
                <c:pt idx="47">
                  <c:v>18.008159557874837</c:v>
                </c:pt>
                <c:pt idx="48">
                  <c:v>19.150558469130036</c:v>
                </c:pt>
                <c:pt idx="49">
                  <c:v>20.365428710297824</c:v>
                </c:pt>
                <c:pt idx="50">
                  <c:v>21.657367706679931</c:v>
                </c:pt>
                <c:pt idx="51">
                  <c:v>23.031264534351347</c:v>
                </c:pt>
                <c:pt idx="52">
                  <c:v>24.492318421858034</c:v>
                </c:pt>
                <c:pt idx="53">
                  <c:v>26.046058425622668</c:v>
                </c:pt>
                <c:pt idx="54">
                  <c:v>27.698364353515743</c:v>
                </c:pt>
                <c:pt idx="55">
                  <c:v>29.45548901577305</c:v>
                </c:pt>
                <c:pt idx="56">
                  <c:v>31.324081887463471</c:v>
                </c:pt>
                <c:pt idx="57">
                  <c:v>33.311214272052936</c:v>
                </c:pt>
                <c:pt idx="58">
                  <c:v>35.424406061290533</c:v>
                </c:pt>
                <c:pt idx="59">
                  <c:v>37.67165419268462</c:v>
                </c:pt>
                <c:pt idx="60">
                  <c:v>40.061462912259522</c:v>
                </c:pt>
                <c:pt idx="61">
                  <c:v>42.602875957116908</c:v>
                </c:pt>
                <c:pt idx="62">
                  <c:v>45.305510779589277</c:v>
                </c:pt>
                <c:pt idx="63">
                  <c:v>48.179594942500358</c:v>
                </c:pt>
                <c:pt idx="64">
                  <c:v>51.236004823262483</c:v>
                </c:pt>
                <c:pt idx="65">
                  <c:v>54.486306773278585</c:v>
                </c:pt>
                <c:pt idx="66">
                  <c:v>57.94280088840825</c:v>
                </c:pt>
                <c:pt idx="67">
                  <c:v>61.61856755613799</c:v>
                </c:pt>
                <c:pt idx="68">
                  <c:v>65.527516955603716</c:v>
                </c:pt>
                <c:pt idx="69">
                  <c:v>69.684441697788372</c:v>
                </c:pt>
                <c:pt idx="70">
                  <c:v>74.105072805100434</c:v>
                </c:pt>
                <c:pt idx="71">
                  <c:v>78.806139242176371</c:v>
                </c:pt>
                <c:pt idx="72">
                  <c:v>83.805431223189501</c:v>
                </c:pt>
                <c:pt idx="73">
                  <c:v>89.121867535237712</c:v>
                </c:pt>
                <c:pt idx="74">
                  <c:v>94.775567132582992</c:v>
                </c:pt>
                <c:pt idx="75">
                  <c:v>100.78792527267464</c:v>
                </c:pt>
                <c:pt idx="76">
                  <c:v>107.18169448207877</c:v>
                </c:pt>
                <c:pt idx="77">
                  <c:v>113.98107065871142</c:v>
                </c:pt>
                <c:pt idx="78">
                  <c:v>121.21178463621371</c:v>
                </c:pt>
                <c:pt idx="79">
                  <c:v>128.90119955697148</c:v>
                </c:pt>
                <c:pt idx="80">
                  <c:v>137.07841442227294</c:v>
                </c:pt>
                <c:pt idx="81">
                  <c:v>145.77437421146283</c:v>
                </c:pt>
                <c:pt idx="82">
                  <c:v>155.02198698682062</c:v>
                </c:pt>
                <c:pt idx="83">
                  <c:v>164.85624842731968</c:v>
                </c:pt>
                <c:pt idx="84">
                  <c:v>175.3143742625403</c:v>
                </c:pt>
                <c:pt idx="85">
                  <c:v>186.43594110790573</c:v>
                </c:pt>
                <c:pt idx="86">
                  <c:v>198.26303623420247</c:v>
                </c:pt>
                <c:pt idx="87">
                  <c:v>210.84041683815525</c:v>
                </c:pt>
                <c:pt idx="88">
                  <c:v>224.21567941678887</c:v>
                </c:pt>
                <c:pt idx="89">
                  <c:v>238.43943988652958</c:v>
                </c:pt>
                <c:pt idx="90">
                  <c:v>253.56552512868072</c:v>
                </c:pt>
                <c:pt idx="91">
                  <c:v>269.65117668612646</c:v>
                </c:pt>
                <c:pt idx="92">
                  <c:v>286.75726738211927</c:v>
                </c:pt>
                <c:pt idx="93">
                  <c:v>304.94853168089651</c:v>
                </c:pt>
                <c:pt idx="94">
                  <c:v>324.29381066187881</c:v>
                </c:pt>
                <c:pt idx="95">
                  <c:v>344.8663125345048</c:v>
                </c:pt>
                <c:pt idx="96">
                  <c:v>366.74388967956821</c:v>
                </c:pt>
                <c:pt idx="97">
                  <c:v>390.00933326545766</c:v>
                </c:pt>
                <c:pt idx="98">
                  <c:v>414.75068655422291</c:v>
                </c:pt>
                <c:pt idx="99">
                  <c:v>441.06157808309626</c:v>
                </c:pt>
                <c:pt idx="100">
                  <c:v>469.04157598234281</c:v>
                </c:pt>
                <c:pt idx="101">
                  <c:v>498.79656477026373</c:v>
                </c:pt>
                <c:pt idx="102">
                  <c:v>530.4391460512702</c:v>
                </c:pt>
                <c:pt idx="103">
                  <c:v>564.08906463337905</c:v>
                </c:pt>
                <c:pt idx="104">
                  <c:v>599.87366167768641</c:v>
                </c:pt>
                <c:pt idx="105">
                  <c:v>637.92835659466812</c:v>
                </c:pt>
                <c:pt idx="106">
                  <c:v>678.39715951094945</c:v>
                </c:pt>
                <c:pt idx="107">
                  <c:v>721.43321624585462</c:v>
                </c:pt>
                <c:pt idx="108">
                  <c:v>767.19938786011153</c:v>
                </c:pt>
                <c:pt idx="109">
                  <c:v>815.86886696986198</c:v>
                </c:pt>
                <c:pt idx="110">
                  <c:v>867.62583315832671</c:v>
                </c:pt>
                <c:pt idx="111">
                  <c:v>922.66614996535543</c:v>
                </c:pt>
                <c:pt idx="112">
                  <c:v>981.19810609251715</c:v>
                </c:pt>
                <c:pt idx="113">
                  <c:v>1043.443203628628</c:v>
                </c:pt>
                <c:pt idx="114">
                  <c:v>1109.6369962786232</c:v>
                </c:pt>
                <c:pt idx="115">
                  <c:v>1180.0299807678607</c:v>
                </c:pt>
                <c:pt idx="116">
                  <c:v>1254.8885447951977</c:v>
                </c:pt>
                <c:pt idx="117">
                  <c:v>1334.4959751221782</c:v>
                </c:pt>
                <c:pt idx="118">
                  <c:v>1419.1535296132129</c:v>
                </c:pt>
                <c:pt idx="119">
                  <c:v>1509.1815772837017</c:v>
                </c:pt>
                <c:pt idx="120">
                  <c:v>1604.9208106703452</c:v>
                </c:pt>
                <c:pt idx="121">
                  <c:v>1706.7335351116335</c:v>
                </c:pt>
                <c:pt idx="122">
                  <c:v>1815.0050398174897</c:v>
                </c:pt>
                <c:pt idx="123">
                  <c:v>1930.1450559166665</c:v>
                </c:pt>
                <c:pt idx="124">
                  <c:v>2052.58930699948</c:v>
                </c:pt>
                <c:pt idx="125">
                  <c:v>2182.8011580236971</c:v>
                </c:pt>
                <c:pt idx="126">
                  <c:v>2321.2733688234066</c:v>
                </c:pt>
                <c:pt idx="127">
                  <c:v>2468.5299588567814</c:v>
                </c:pt>
                <c:pt idx="128">
                  <c:v>2625.1281902493761</c:v>
                </c:pt>
                <c:pt idx="129">
                  <c:v>2791.6606766374607</c:v>
                </c:pt>
                <c:pt idx="130">
                  <c:v>2968.757625791824</c:v>
                </c:pt>
                <c:pt idx="131">
                  <c:v>3157.0892245088098</c:v>
                </c:pt>
                <c:pt idx="132">
                  <c:v>3357.3681747937244</c:v>
                </c:pt>
                <c:pt idx="133">
                  <c:v>3570.3523909342362</c:v>
                </c:pt>
                <c:pt idx="134">
                  <c:v>3796.8478676703417</c:v>
                </c:pt>
                <c:pt idx="135">
                  <c:v>4037.7117303148448</c:v>
                </c:pt>
                <c:pt idx="136">
                  <c:v>4293.8554783669315</c:v>
                </c:pt>
                <c:pt idx="137">
                  <c:v>4566.248434893605</c:v>
                </c:pt>
                <c:pt idx="138">
                  <c:v>4855.9214147324665</c:v>
                </c:pt>
                <c:pt idx="139">
                  <c:v>5163.9706253973836</c:v>
                </c:pt>
                <c:pt idx="140">
                  <c:v>5491.5618154492358</c:v>
                </c:pt>
                <c:pt idx="141">
                  <c:v>5839.9346860303567</c:v>
                </c:pt>
                <c:pt idx="142">
                  <c:v>6210.4075822572904</c:v>
                </c:pt>
                <c:pt idx="143">
                  <c:v>6604.3824822253073</c:v>
                </c:pt>
                <c:pt idx="144">
                  <c:v>7023.3503025047467</c:v>
                </c:pt>
                <c:pt idx="145">
                  <c:v>7468.8965402065769</c:v>
                </c:pt>
                <c:pt idx="146">
                  <c:v>7942.7072729684578</c:v>
                </c:pt>
                <c:pt idx="147">
                  <c:v>8446.5755395671058</c:v>
                </c:pt>
                <c:pt idx="148">
                  <c:v>8982.4081253027471</c:v>
                </c:pt>
                <c:pt idx="149">
                  <c:v>9552.2327778341514</c:v>
                </c:pt>
                <c:pt idx="150">
                  <c:v>10158.205880770249</c:v>
                </c:pt>
                <c:pt idx="151">
                  <c:v>10802.620614058389</c:v>
                </c:pt>
                <c:pt idx="152">
                  <c:v>11487.915632049675</c:v>
                </c:pt>
                <c:pt idx="153">
                  <c:v>12216.684292082227</c:v>
                </c:pt>
                <c:pt idx="154">
                  <c:v>12991.684468506162</c:v>
                </c:pt>
                <c:pt idx="155">
                  <c:v>13815.848989288772</c:v>
                </c:pt>
                <c:pt idx="156">
                  <c:v>14692.296734695852</c:v>
                </c:pt>
                <c:pt idx="157">
                  <c:v>15624.344440049217</c:v>
                </c:pt>
                <c:pt idx="158">
                  <c:v>16615.519247226184</c:v>
                </c:pt>
                <c:pt idx="159">
                  <c:v>17669.572052398642</c:v>
                </c:pt>
                <c:pt idx="160">
                  <c:v>18790.49170052441</c:v>
                </c:pt>
                <c:pt idx="161">
                  <c:v>19982.5200803064</c:v>
                </c:pt>
                <c:pt idx="162">
                  <c:v>21250.168176743602</c:v>
                </c:pt>
                <c:pt idx="163">
                  <c:v>22598.233142021272</c:v>
                </c:pt>
                <c:pt idx="164">
                  <c:v>24031.816449341983</c:v>
                </c:pt>
                <c:pt idx="165">
                  <c:v>25556.343198396022</c:v>
                </c:pt>
                <c:pt idx="166">
                  <c:v>27177.582645530147</c:v>
                </c:pt>
                <c:pt idx="167">
                  <c:v>28901.670036305419</c:v>
                </c:pt>
                <c:pt idx="168">
                  <c:v>30735.129823066054</c:v>
                </c:pt>
                <c:pt idx="169">
                  <c:v>32684.900355380338</c:v>
                </c:pt>
                <c:pt idx="170">
                  <c:v>34758.360136790499</c:v>
                </c:pt>
                <c:pt idx="171">
                  <c:v>36963.355747234389</c:v>
                </c:pt>
                <c:pt idx="172">
                  <c:v>39308.231536804677</c:v>
                </c:pt>
                <c:pt idx="173">
                  <c:v>41801.861203217486</c:v>
                </c:pt>
                <c:pt idx="174">
                  <c:v>44453.681372487059</c:v>
                </c:pt>
                <c:pt idx="175">
                  <c:v>47273.727309885995</c:v>
                </c:pt>
                <c:pt idx="176">
                  <c:v>50272.670896332245</c:v>
                </c:pt>
                <c:pt idx="177">
                  <c:v>53461.861013916772</c:v>
                </c:pt>
                <c:pt idx="178">
                  <c:v>56853.366493401947</c:v>
                </c:pt>
                <c:pt idx="179">
                  <c:v>60460.02178621637</c:v>
                </c:pt>
                <c:pt idx="180">
                  <c:v>64295.47553378361</c:v>
                </c:pt>
                <c:pt idx="181">
                  <c:v>68374.242217984312</c:v>
                </c:pt>
                <c:pt idx="182">
                  <c:v>72711.757088212587</c:v>
                </c:pt>
                <c:pt idx="183">
                  <c:v>77324.434572886516</c:v>
                </c:pt>
                <c:pt idx="184">
                  <c:v>82229.730396460247</c:v>
                </c:pt>
                <c:pt idx="185">
                  <c:v>87446.207637003507</c:v>
                </c:pt>
                <c:pt idx="186">
                  <c:v>92993.606974334747</c:v>
                </c:pt>
                <c:pt idx="187">
                  <c:v>98892.921394542427</c:v>
                </c:pt>
                <c:pt idx="188">
                  <c:v>105166.47563360249</c:v>
                </c:pt>
                <c:pt idx="189">
                  <c:v>111838.01066072512</c:v>
                </c:pt>
                <c:pt idx="190">
                  <c:v>118932.77352114675</c:v>
                </c:pt>
                <c:pt idx="191">
                  <c:v>126477.61287835392</c:v>
                </c:pt>
                <c:pt idx="192">
                  <c:v>134501.0806172993</c:v>
                </c:pt>
                <c:pt idx="193">
                  <c:v>143033.53989310883</c:v>
                </c:pt>
                <c:pt idx="194">
                  <c:v>152107.28003416685</c:v>
                </c:pt>
                <c:pt idx="195">
                  <c:v>161756.63873440344</c:v>
                </c:pt>
                <c:pt idx="196">
                  <c:v>172018.13199719929</c:v>
                </c:pt>
                <c:pt idx="197">
                  <c:v>182930.59232265301</c:v>
                </c:pt>
                <c:pt idx="198">
                  <c:v>194535.31566115122</c:v>
                </c:pt>
                <c:pt idx="199">
                  <c:v>206876.21768935499</c:v>
                </c:pt>
                <c:pt idx="200">
                  <c:v>219999.99999999985</c:v>
                </c:pt>
              </c:numCache>
            </c:numRef>
          </c:xVal>
          <c:yVal>
            <c:numRef>
              <c:f>'Design tool'!$AS$2:$AS$202</c:f>
              <c:numCache>
                <c:formatCode>General</c:formatCode>
                <c:ptCount val="201"/>
                <c:pt idx="0">
                  <c:v>68.789696353634042</c:v>
                </c:pt>
                <c:pt idx="1">
                  <c:v>68.789492143859206</c:v>
                </c:pt>
                <c:pt idx="2">
                  <c:v>68.789261214577408</c:v>
                </c:pt>
                <c:pt idx="3">
                  <c:v>68.789000071427992</c:v>
                </c:pt>
                <c:pt idx="4">
                  <c:v>68.788704763536558</c:v>
                </c:pt>
                <c:pt idx="5">
                  <c:v>68.788370824008425</c:v>
                </c:pt>
                <c:pt idx="6">
                  <c:v>68.78799320270079</c:v>
                </c:pt>
                <c:pt idx="7">
                  <c:v>68.787566190285304</c:v>
                </c:pt>
                <c:pt idx="8">
                  <c:v>68.787083332482993</c:v>
                </c:pt>
                <c:pt idx="9">
                  <c:v>68.78653733321903</c:v>
                </c:pt>
                <c:pt idx="10">
                  <c:v>68.785919945285457</c:v>
                </c:pt>
                <c:pt idx="11">
                  <c:v>68.785221846929602</c:v>
                </c:pt>
                <c:pt idx="12">
                  <c:v>68.784432502590732</c:v>
                </c:pt>
                <c:pt idx="13">
                  <c:v>68.783540005794421</c:v>
                </c:pt>
                <c:pt idx="14">
                  <c:v>68.78253090197633</c:v>
                </c:pt>
                <c:pt idx="15">
                  <c:v>68.78138998874465</c:v>
                </c:pt>
                <c:pt idx="16">
                  <c:v>68.780100090802065</c:v>
                </c:pt>
                <c:pt idx="17">
                  <c:v>68.778641806433015</c:v>
                </c:pt>
                <c:pt idx="18">
                  <c:v>68.776993222116374</c:v>
                </c:pt>
                <c:pt idx="19">
                  <c:v>68.775129591452327</c:v>
                </c:pt>
                <c:pt idx="20">
                  <c:v>68.77302297419061</c:v>
                </c:pt>
                <c:pt idx="21">
                  <c:v>68.770641830720905</c:v>
                </c:pt>
                <c:pt idx="22">
                  <c:v>68.767950566936094</c:v>
                </c:pt>
                <c:pt idx="23">
                  <c:v>68.764909023915294</c:v>
                </c:pt>
                <c:pt idx="24">
                  <c:v>68.761471906396082</c:v>
                </c:pt>
                <c:pt idx="25">
                  <c:v>68.757588143537816</c:v>
                </c:pt>
                <c:pt idx="26">
                  <c:v>68.753200175029335</c:v>
                </c:pt>
                <c:pt idx="27">
                  <c:v>68.748243155187808</c:v>
                </c:pt>
                <c:pt idx="28">
                  <c:v>68.742644067371614</c:v>
                </c:pt>
                <c:pt idx="29">
                  <c:v>68.736320740814861</c:v>
                </c:pt>
                <c:pt idx="30">
                  <c:v>68.729180761949209</c:v>
                </c:pt>
                <c:pt idx="31">
                  <c:v>68.721120272471211</c:v>
                </c:pt>
                <c:pt idx="32">
                  <c:v>68.712022646921142</c:v>
                </c:pt>
                <c:pt idx="33">
                  <c:v>68.701757043469343</c:v>
                </c:pt>
                <c:pt idx="34">
                  <c:v>68.690176823081273</c:v>
                </c:pt>
                <c:pt idx="35">
                  <c:v>68.677117834400633</c:v>
                </c:pt>
                <c:pt idx="36">
                  <c:v>68.662396564728851</c:v>
                </c:pt>
                <c:pt idx="37">
                  <c:v>68.645808161587837</c:v>
                </c:pt>
                <c:pt idx="38">
                  <c:v>68.627124334756672</c:v>
                </c:pt>
                <c:pt idx="39">
                  <c:v>68.606091155614592</c:v>
                </c:pt>
                <c:pt idx="40">
                  <c:v>68.582426779343592</c:v>
                </c:pt>
                <c:pt idx="41">
                  <c:v>68.555819126282032</c:v>
                </c:pt>
                <c:pt idx="42">
                  <c:v>68.525923571655866</c:v>
                </c:pt>
                <c:pt idx="43">
                  <c:v>68.492360708155061</c:v>
                </c:pt>
                <c:pt idx="44">
                  <c:v>68.454714263323794</c:v>
                </c:pt>
                <c:pt idx="45">
                  <c:v>68.412529273246307</c:v>
                </c:pt>
                <c:pt idx="46">
                  <c:v>68.365310634979906</c:v>
                </c:pt>
                <c:pt idx="47">
                  <c:v>68.312522181673231</c:v>
                </c:pt>
                <c:pt idx="48">
                  <c:v>68.253586444873335</c:v>
                </c:pt>
                <c:pt idx="49">
                  <c:v>68.187885286163578</c:v>
                </c:pt>
                <c:pt idx="50">
                  <c:v>68.11476159236841</c:v>
                </c:pt>
                <c:pt idx="51">
                  <c:v>68.03352223190933</c:v>
                </c:pt>
                <c:pt idx="52">
                  <c:v>67.943442460855479</c:v>
                </c:pt>
                <c:pt idx="53">
                  <c:v>67.843771941989672</c:v>
                </c:pt>
                <c:pt idx="54">
                  <c:v>67.733742495333615</c:v>
                </c:pt>
                <c:pt idx="55">
                  <c:v>67.612577631527614</c:v>
                </c:pt>
                <c:pt idx="56">
                  <c:v>67.479503829514542</c:v>
                </c:pt>
                <c:pt idx="57">
                  <c:v>67.333763408981454</c:v>
                </c:pt>
                <c:pt idx="58">
                  <c:v>67.174628721180085</c:v>
                </c:pt>
                <c:pt idx="59">
                  <c:v>67.001417247987362</c:v>
                </c:pt>
                <c:pt idx="60">
                  <c:v>66.813507070848814</c:v>
                </c:pt>
                <c:pt idx="61">
                  <c:v>66.610352063615807</c:v>
                </c:pt>
                <c:pt idx="62">
                  <c:v>66.391496092127142</c:v>
                </c:pt>
                <c:pt idx="63">
                  <c:v>66.156585482933934</c:v>
                </c:pt>
                <c:pt idx="64">
                  <c:v>65.905379063714491</c:v>
                </c:pt>
                <c:pt idx="65">
                  <c:v>65.637755181690935</c:v>
                </c:pt>
                <c:pt idx="66">
                  <c:v>65.353715268426967</c:v>
                </c:pt>
                <c:pt idx="67">
                  <c:v>65.053383725937309</c:v>
                </c:pt>
                <c:pt idx="68">
                  <c:v>64.737004139444522</c:v>
                </c:pt>
                <c:pt idx="69">
                  <c:v>64.404932051904353</c:v>
                </c:pt>
                <c:pt idx="70">
                  <c:v>64.05762474023183</c:v>
                </c:pt>
                <c:pt idx="71">
                  <c:v>63.695628592623564</c:v>
                </c:pt>
                <c:pt idx="72">
                  <c:v>63.319564787065858</c:v>
                </c:pt>
                <c:pt idx="73">
                  <c:v>62.930114008142247</c:v>
                </c:pt>
                <c:pt idx="74">
                  <c:v>62.528000916008907</c:v>
                </c:pt>
                <c:pt idx="75">
                  <c:v>62.113979008049043</c:v>
                </c:pt>
                <c:pt idx="76">
                  <c:v>61.688816404637059</c:v>
                </c:pt>
                <c:pt idx="77">
                  <c:v>61.253282961522579</c:v>
                </c:pt>
                <c:pt idx="78">
                  <c:v>60.808138977551067</c:v>
                </c:pt>
                <c:pt idx="79">
                  <c:v>60.35412564006873</c:v>
                </c:pt>
                <c:pt idx="80">
                  <c:v>59.891957240154667</c:v>
                </c:pt>
                <c:pt idx="81">
                  <c:v>59.422315100807339</c:v>
                </c:pt>
                <c:pt idx="82">
                  <c:v>58.945843095098368</c:v>
                </c:pt>
                <c:pt idx="83">
                  <c:v>58.463144587258441</c:v>
                </c:pt>
                <c:pt idx="84">
                  <c:v>57.97478060508918</c:v>
                </c:pt>
                <c:pt idx="85">
                  <c:v>57.481269043514729</c:v>
                </c:pt>
                <c:pt idx="86">
                  <c:v>56.983084702685076</c:v>
                </c:pt>
                <c:pt idx="87">
                  <c:v>56.480659976213609</c:v>
                </c:pt>
                <c:pt idx="88">
                  <c:v>55.97438602268241</c:v>
                </c:pt>
                <c:pt idx="89">
                  <c:v>55.464614273913917</c:v>
                </c:pt>
                <c:pt idx="90">
                  <c:v>54.951658154702734</c:v>
                </c:pt>
                <c:pt idx="91">
                  <c:v>54.435794909337091</c:v>
                </c:pt>
                <c:pt idx="92">
                  <c:v>53.91726744939286</c:v>
                </c:pt>
                <c:pt idx="93">
                  <c:v>53.396286154451474</c:v>
                </c:pt>
                <c:pt idx="94">
                  <c:v>52.873030572347176</c:v>
                </c:pt>
                <c:pt idx="95">
                  <c:v>52.347650978291611</c:v>
                </c:pt>
                <c:pt idx="96">
                  <c:v>51.820269762897084</c:v>
                </c:pt>
                <c:pt idx="97">
                  <c:v>51.290982627968788</c:v>
                </c:pt>
                <c:pt idx="98">
                  <c:v>50.759859576244907</c:v>
                </c:pt>
                <c:pt idx="99">
                  <c:v>50.226945687361052</c:v>
                </c:pt>
                <c:pt idx="100">
                  <c:v>49.692261677534027</c:v>
                </c:pt>
                <c:pt idx="101">
                  <c:v>49.155804245134647</c:v>
                </c:pt>
                <c:pt idx="102">
                  <c:v>48.617546208786948</c:v>
                </c:pt>
                <c:pt idx="103">
                  <c:v>48.077436449215881</c:v>
                </c:pt>
                <c:pt idx="104">
                  <c:v>47.535399671115812</c:v>
                </c:pt>
                <c:pt idx="105">
                  <c:v>46.991336007120879</c:v>
                </c:pt>
                <c:pt idx="106">
                  <c:v>46.445120492876086</c:v>
                </c:pt>
                <c:pt idx="107">
                  <c:v>45.896602450511665</c:v>
                </c:pt>
                <c:pt idx="108">
                  <c:v>45.345604827790865</c:v>
                </c:pt>
                <c:pt idx="109">
                  <c:v>44.791923552052964</c:v>
                </c:pt>
                <c:pt idx="110">
                  <c:v>44.235326971915725</c:v>
                </c:pt>
                <c:pt idx="111">
                  <c:v>43.675555475535276</c:v>
                </c:pt>
                <c:pt idx="112">
                  <c:v>43.112321391792406</c:v>
                </c:pt>
                <c:pt idx="113">
                  <c:v>42.545309299589476</c:v>
                </c:pt>
                <c:pt idx="114">
                  <c:v>41.974176889575709</c:v>
                </c:pt>
                <c:pt idx="115">
                  <c:v>41.398556540708043</c:v>
                </c:pt>
                <c:pt idx="116">
                  <c:v>40.818057789120061</c:v>
                </c:pt>
                <c:pt idx="117">
                  <c:v>40.232270876250453</c:v>
                </c:pt>
                <c:pt idx="118">
                  <c:v>39.640771563845391</c:v>
                </c:pt>
                <c:pt idx="119">
                  <c:v>39.043127391565648</c:v>
                </c:pt>
                <c:pt idx="120">
                  <c:v>38.438905524471529</c:v>
                </c:pt>
                <c:pt idx="121">
                  <c:v>37.827682288756584</c:v>
                </c:pt>
                <c:pt idx="122">
                  <c:v>37.209054421611583</c:v>
                </c:pt>
                <c:pt idx="123">
                  <c:v>36.582651963459398</c:v>
                </c:pt>
                <c:pt idx="124">
                  <c:v>35.948152598879503</c:v>
                </c:pt>
                <c:pt idx="125">
                  <c:v>35.305297110550725</c:v>
                </c:pt>
                <c:pt idx="126">
                  <c:v>34.653905456655252</c:v>
                </c:pt>
                <c:pt idx="127">
                  <c:v>33.993892828739604</c:v>
                </c:pt>
                <c:pt idx="128">
                  <c:v>33.325284909922416</c:v>
                </c:pt>
                <c:pt idx="129">
                  <c:v>32.648231450731473</c:v>
                </c:pt>
                <c:pt idx="130">
                  <c:v>31.963017229885661</c:v>
                </c:pt>
                <c:pt idx="131">
                  <c:v>31.270069485398633</c:v>
                </c:pt>
                <c:pt idx="132">
                  <c:v>30.569960997233295</c:v>
                </c:pt>
                <c:pt idx="133">
                  <c:v>29.863408178143001</c:v>
                </c:pt>
                <c:pt idx="134">
                  <c:v>29.151263776797411</c:v>
                </c:pt>
                <c:pt idx="135">
                  <c:v>28.434504100259776</c:v>
                </c:pt>
                <c:pt idx="136">
                  <c:v>27.714210997412863</c:v>
                </c:pt>
                <c:pt idx="137">
                  <c:v>26.991549182600387</c:v>
                </c:pt>
                <c:pt idx="138">
                  <c:v>26.267739790012538</c:v>
                </c:pt>
                <c:pt idx="139">
                  <c:v>25.544031306911318</c:v>
                </c:pt>
                <c:pt idx="140">
                  <c:v>24.821669215299345</c:v>
                </c:pt>
                <c:pt idx="141">
                  <c:v>24.101865761585199</c:v>
                </c:pt>
                <c:pt idx="142">
                  <c:v>23.385771264565939</c:v>
                </c:pt>
                <c:pt idx="143">
                  <c:v>22.674448264430531</c:v>
                </c:pt>
                <c:pt idx="144">
                  <c:v>21.968849618564143</c:v>
                </c:pt>
                <c:pt idx="145">
                  <c:v>21.269801380583772</c:v>
                </c:pt>
                <c:pt idx="146">
                  <c:v>20.577990980679324</c:v>
                </c:pt>
                <c:pt idx="147">
                  <c:v>19.893960885906921</c:v>
                </c:pt>
                <c:pt idx="148">
                  <c:v>19.218107588166021</c:v>
                </c:pt>
                <c:pt idx="149">
                  <c:v>18.550685473061069</c:v>
                </c:pt>
                <c:pt idx="150">
                  <c:v>17.891814887449335</c:v>
                </c:pt>
                <c:pt idx="151">
                  <c:v>17.241493562209598</c:v>
                </c:pt>
                <c:pt idx="152">
                  <c:v>16.599610465381311</c:v>
                </c:pt>
                <c:pt idx="153">
                  <c:v>15.965961155966642</c:v>
                </c:pt>
                <c:pt idx="154">
                  <c:v>15.340263769357307</c:v>
                </c:pt>
                <c:pt idx="155">
                  <c:v>14.722174875437863</c:v>
                </c:pt>
                <c:pt idx="156">
                  <c:v>14.111304591566865</c:v>
                </c:pt>
                <c:pt idx="157">
                  <c:v>13.507230486982111</c:v>
                </c:pt>
                <c:pt idx="158">
                  <c:v>12.909509967360709</c:v>
                </c:pt>
                <c:pt idx="159">
                  <c:v>12.317690966714384</c:v>
                </c:pt>
                <c:pt idx="160">
                  <c:v>11.731320891085009</c:v>
                </c:pt>
                <c:pt idx="161">
                  <c:v>11.149953851086524</c:v>
                </c:pt>
                <c:pt idx="162">
                  <c:v>10.573156287844979</c:v>
                </c:pt>
                <c:pt idx="163">
                  <c:v>10.000511141253028</c:v>
                </c:pt>
                <c:pt idx="164">
                  <c:v>9.4316207339879661</c:v>
                </c:pt>
                <c:pt idx="165">
                  <c:v>8.8661085533920456</c:v>
                </c:pt>
                <c:pt idx="166">
                  <c:v>8.3036201100686462</c:v>
                </c:pt>
                <c:pt idx="167">
                  <c:v>7.7438230405777357</c:v>
                </c:pt>
                <c:pt idx="168">
                  <c:v>7.1864066049987354</c:v>
                </c:pt>
                <c:pt idx="169">
                  <c:v>6.6310807108643592</c:v>
                </c:pt>
                <c:pt idx="170">
                  <c:v>6.0775745748898435</c:v>
                </c:pt>
                <c:pt idx="171">
                  <c:v>5.525635114340238</c:v>
                </c:pt>
                <c:pt idx="172">
                  <c:v>4.9750251416276221</c:v>
                </c:pt>
                <c:pt idx="173">
                  <c:v>4.4255214192982937</c:v>
                </c:pt>
                <c:pt idx="174">
                  <c:v>3.8769126181730806</c:v>
                </c:pt>
                <c:pt idx="175">
                  <c:v>3.3289972090801854</c:v>
                </c:pt>
                <c:pt idx="176">
                  <c:v>2.7815813082799625</c:v>
                </c:pt>
                <c:pt idx="177">
                  <c:v>2.2344764881867007</c:v>
                </c:pt>
                <c:pt idx="178">
                  <c:v>1.6874975581565064</c:v>
                </c:pt>
                <c:pt idx="179">
                  <c:v>1.140460314759955</c:v>
                </c:pt>
                <c:pt idx="180">
                  <c:v>0.59317925692877793</c:v>
                </c:pt>
                <c:pt idx="181">
                  <c:v>4.5465258525022811E-2</c:v>
                </c:pt>
                <c:pt idx="182">
                  <c:v>-0.50287681087367986</c:v>
                </c:pt>
                <c:pt idx="183">
                  <c:v>-1.0520505269010751</c:v>
                </c:pt>
                <c:pt idx="184">
                  <c:v>-1.6022704226900775</c:v>
                </c:pt>
                <c:pt idx="185">
                  <c:v>-2.1537645808693116</c:v>
                </c:pt>
                <c:pt idx="186">
                  <c:v>-2.7067773112454603</c:v>
                </c:pt>
                <c:pt idx="187">
                  <c:v>-3.2615719166527999</c:v>
                </c:pt>
                <c:pt idx="188">
                  <c:v>-3.8184335447355426</c:v>
                </c:pt>
                <c:pt idx="189">
                  <c:v>-4.3776721174407571</c:v>
                </c:pt>
                <c:pt idx="190">
                  <c:v>-4.9396253227047335</c:v>
                </c:pt>
                <c:pt idx="191">
                  <c:v>-5.5046616442482597</c:v>
                </c:pt>
                <c:pt idx="192">
                  <c:v>-6.0731833957444934</c:v>
                </c:pt>
                <c:pt idx="193">
                  <c:v>-6.6456297152222037</c:v>
                </c:pt>
                <c:pt idx="194">
                  <c:v>-7.2224794650463195</c:v>
                </c:pt>
                <c:pt idx="195">
                  <c:v>-7.8042539731385379</c:v>
                </c:pt>
                <c:pt idx="196">
                  <c:v>-8.3915195436648879</c:v>
                </c:pt>
                <c:pt idx="197">
                  <c:v>-8.9848896621315983</c:v>
                </c:pt>
                <c:pt idx="198">
                  <c:v>-9.5850268231599678</c:v>
                </c:pt>
                <c:pt idx="199">
                  <c:v>-10.192643922120885</c:v>
                </c:pt>
                <c:pt idx="200">
                  <c:v>-10.808505177640363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65984"/>
        <c:axId val="120667520"/>
      </c:scatterChart>
      <c:valAx>
        <c:axId val="12066598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34434003291224674"/>
              <c:y val="0.899023247094113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0667520"/>
        <c:crosses val="autoZero"/>
        <c:crossBetween val="midCat"/>
      </c:valAx>
      <c:valAx>
        <c:axId val="12066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665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4747209629098E-2"/>
          <c:y val="3.9475614495016076E-2"/>
          <c:w val="0.86969495479731695"/>
          <c:h val="0.87145186451041434"/>
        </c:manualLayout>
      </c:layout>
      <c:scatterChart>
        <c:scatterStyle val="lineMarker"/>
        <c:varyColors val="0"/>
        <c:ser>
          <c:idx val="2"/>
          <c:order val="0"/>
          <c:tx>
            <c:strRef>
              <c:f>'Minimum input voltage'!$D$7</c:f>
              <c:strCache>
                <c:ptCount val="1"/>
                <c:pt idx="0">
                  <c:v>Vin min @ 2MHz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'Minimum input voltage'!$C$8:$C$16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input voltage'!$D$8:$D$16</c:f>
              <c:numCache>
                <c:formatCode>0.00</c:formatCode>
                <c:ptCount val="9"/>
                <c:pt idx="0">
                  <c:v>3.7216666666666667</c:v>
                </c:pt>
                <c:pt idx="1">
                  <c:v>3.7766666666666664</c:v>
                </c:pt>
                <c:pt idx="2">
                  <c:v>3.9416666666666664</c:v>
                </c:pt>
                <c:pt idx="3">
                  <c:v>4.1066666666666665</c:v>
                </c:pt>
                <c:pt idx="4">
                  <c:v>4.2166666666666668</c:v>
                </c:pt>
                <c:pt idx="5">
                  <c:v>4.3266666666666662</c:v>
                </c:pt>
                <c:pt idx="6">
                  <c:v>4.4916666666666663</c:v>
                </c:pt>
                <c:pt idx="7">
                  <c:v>4.6566666666666663</c:v>
                </c:pt>
                <c:pt idx="8">
                  <c:v>4.7666666666666666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'Minimum input voltage'!$E$7</c:f>
              <c:strCache>
                <c:ptCount val="1"/>
                <c:pt idx="0">
                  <c:v>Vin min (loss of reg)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'Minimum input voltage'!$C$8:$C$16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</c:numCache>
            </c:numRef>
          </c:xVal>
          <c:yVal>
            <c:numRef>
              <c:f>'Minimum input voltage'!$E$8:$E$16</c:f>
              <c:numCache>
                <c:formatCode>0.00</c:formatCode>
                <c:ptCount val="9"/>
                <c:pt idx="0">
                  <c:v>3.4746891191709848</c:v>
                </c:pt>
                <c:pt idx="1">
                  <c:v>3.5296891191709845</c:v>
                </c:pt>
                <c:pt idx="2">
                  <c:v>3.6946891191709845</c:v>
                </c:pt>
                <c:pt idx="3">
                  <c:v>3.8596891191709846</c:v>
                </c:pt>
                <c:pt idx="4">
                  <c:v>3.9696891191709849</c:v>
                </c:pt>
                <c:pt idx="5">
                  <c:v>4.0796891191709843</c:v>
                </c:pt>
                <c:pt idx="6">
                  <c:v>4.2446891191709843</c:v>
                </c:pt>
                <c:pt idx="7">
                  <c:v>4.4096891191709844</c:v>
                </c:pt>
                <c:pt idx="8">
                  <c:v>4.5196891191709847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13088"/>
        <c:axId val="61431808"/>
      </c:scatterChart>
      <c:valAx>
        <c:axId val="59513088"/>
        <c:scaling>
          <c:orientation val="minMax"/>
          <c:max val="2.0499999999999998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2540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431808"/>
        <c:crosses val="autoZero"/>
        <c:crossBetween val="midCat"/>
        <c:majorUnit val="0.2"/>
      </c:valAx>
      <c:valAx>
        <c:axId val="61431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25400"/>
        </c:spPr>
        <c:crossAx val="5951308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66358169641606191"/>
          <c:y val="0.41081630618957438"/>
          <c:w val="0.26141171855297451"/>
          <c:h val="0.12858952124655304"/>
        </c:manualLayout>
      </c:layout>
      <c:overlay val="0"/>
      <c:spPr>
        <a:solidFill>
          <a:schemeClr val="bg1"/>
        </a:solidFill>
        <a:ln w="254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UseLD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48746</xdr:colOff>
      <xdr:row>32</xdr:row>
      <xdr:rowOff>57151</xdr:rowOff>
    </xdr:from>
    <xdr:to>
      <xdr:col>23</xdr:col>
      <xdr:colOff>201706</xdr:colOff>
      <xdr:row>48</xdr:row>
      <xdr:rowOff>302559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</xdr:colOff>
      <xdr:row>17</xdr:row>
      <xdr:rowOff>0</xdr:rowOff>
    </xdr:from>
    <xdr:to>
      <xdr:col>23</xdr:col>
      <xdr:colOff>200025</xdr:colOff>
      <xdr:row>32</xdr:row>
      <xdr:rowOff>49869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214032</xdr:colOff>
      <xdr:row>32</xdr:row>
      <xdr:rowOff>70037</xdr:rowOff>
    </xdr:from>
    <xdr:to>
      <xdr:col>48</xdr:col>
      <xdr:colOff>601756</xdr:colOff>
      <xdr:row>48</xdr:row>
      <xdr:rowOff>317686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215713</xdr:colOff>
      <xdr:row>17</xdr:row>
      <xdr:rowOff>1</xdr:rowOff>
    </xdr:from>
    <xdr:to>
      <xdr:col>48</xdr:col>
      <xdr:colOff>601755</xdr:colOff>
      <xdr:row>32</xdr:row>
      <xdr:rowOff>49867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32</xdr:row>
      <xdr:rowOff>57150</xdr:rowOff>
    </xdr:from>
    <xdr:to>
      <xdr:col>13</xdr:col>
      <xdr:colOff>22411</xdr:colOff>
      <xdr:row>48</xdr:row>
      <xdr:rowOff>302559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11204</xdr:colOff>
      <xdr:row>17</xdr:row>
      <xdr:rowOff>6162</xdr:rowOff>
    </xdr:from>
    <xdr:to>
      <xdr:col>13</xdr:col>
      <xdr:colOff>36419</xdr:colOff>
      <xdr:row>32</xdr:row>
      <xdr:rowOff>44262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0</xdr:colOff>
      <xdr:row>49</xdr:row>
      <xdr:rowOff>0</xdr:rowOff>
    </xdr:from>
    <xdr:ext cx="3318088" cy="280205"/>
    <xdr:sp macro="" textlink="">
      <xdr:nvSpPr>
        <xdr:cNvPr id="8" name="TextBox 7"/>
        <xdr:cNvSpPr txBox="1"/>
      </xdr:nvSpPr>
      <xdr:spPr>
        <a:xfrm>
          <a:off x="7448550" y="9934575"/>
          <a:ext cx="3318088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none" rtlCol="0" anchor="t">
          <a:spAutoFit/>
        </a:bodyPr>
        <a:lstStyle/>
        <a:p>
          <a:r>
            <a:rPr lang="en-US" sz="1200" b="1"/>
            <a:t>Closed loop Bode plot (for phase margin reading)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261939</xdr:colOff>
      <xdr:row>36</xdr:row>
      <xdr:rowOff>0</xdr:rowOff>
    </xdr:from>
    <xdr:to>
      <xdr:col>1</xdr:col>
      <xdr:colOff>490539</xdr:colOff>
      <xdr:row>37</xdr:row>
      <xdr:rowOff>38100</xdr:rowOff>
    </xdr:to>
    <xdr:sp macro="" textlink="">
      <xdr:nvSpPr>
        <xdr:cNvPr id="2" name="Rounded Rectangle 1"/>
        <xdr:cNvSpPr/>
      </xdr:nvSpPr>
      <xdr:spPr>
        <a:xfrm>
          <a:off x="452439" y="4400550"/>
          <a:ext cx="228600" cy="228600"/>
        </a:xfrm>
        <a:prstGeom prst="roundRect">
          <a:avLst/>
        </a:prstGeom>
        <a:solidFill>
          <a:srgbClr val="00FFFF"/>
        </a:solidFill>
        <a:ln>
          <a:solidFill>
            <a:srgbClr val="00FFFF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35</xdr:row>
          <xdr:rowOff>133350</xdr:rowOff>
        </xdr:from>
        <xdr:to>
          <xdr:col>1</xdr:col>
          <xdr:colOff>571500</xdr:colOff>
          <xdr:row>37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28575</xdr:rowOff>
    </xdr:from>
    <xdr:to>
      <xdr:col>7</xdr:col>
      <xdr:colOff>114300</xdr:colOff>
      <xdr:row>37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0100/Copy%20of%20NCV8901_DWS,X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CV8901XXMAXAMBTE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troduction"/>
      <sheetName val="2. Design Parameters"/>
      <sheetName val="3. Feedback Resistors"/>
      <sheetName val="3. Boost Inductor"/>
      <sheetName val="4. Current Sense Resistor"/>
      <sheetName val="5. Output Capacitors"/>
      <sheetName val="Input Capacitor"/>
      <sheetName val="6. Diode"/>
      <sheetName val="7. MOSFET"/>
      <sheetName val="8. Loop Compensation"/>
      <sheetName val="Design Information"/>
      <sheetName val="Calculation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Q1" t="str">
            <v>°</v>
          </cell>
        </row>
        <row r="2">
          <cell r="Z2">
            <v>1</v>
          </cell>
          <cell r="AI2">
            <v>-0.23927531200898353</v>
          </cell>
        </row>
        <row r="3">
          <cell r="Z3">
            <v>1.0634378492473788</v>
          </cell>
          <cell r="AI3">
            <v>-0.25445422772829379</v>
          </cell>
        </row>
        <row r="4">
          <cell r="Z4">
            <v>1.1309000592118907</v>
          </cell>
          <cell r="AI4">
            <v>-0.27059602160855623</v>
          </cell>
        </row>
        <row r="5">
          <cell r="Z5">
            <v>1.2026419266820265</v>
          </cell>
          <cell r="AI5">
            <v>-0.28776176854376251</v>
          </cell>
        </row>
        <row r="6">
          <cell r="Z6">
            <v>1.278934943925458</v>
          </cell>
          <cell r="AI6">
            <v>-0.30601641626158638</v>
          </cell>
        </row>
        <row r="7">
          <cell r="Z7">
            <v>1.3600678260954062</v>
          </cell>
          <cell r="AI7">
            <v>-0.32542903067810408</v>
          </cell>
        </row>
        <row r="8">
          <cell r="Z8">
            <v>1.4463476038134566</v>
          </cell>
          <cell r="AI8">
            <v>-0.34607305675054162</v>
          </cell>
        </row>
        <row r="9">
          <cell r="Z9">
            <v>1.5381007850634825</v>
          </cell>
          <cell r="AI9">
            <v>-0.36802659579766672</v>
          </cell>
        </row>
        <row r="10">
          <cell r="Z10">
            <v>1.6356745907936145</v>
          </cell>
          <cell r="AI10">
            <v>-0.39137270031624344</v>
          </cell>
        </row>
        <row r="11">
          <cell r="Z11">
            <v>1.7394382689021479</v>
          </cell>
          <cell r="AI11">
            <v>-0.41619968738389718</v>
          </cell>
        </row>
        <row r="12">
          <cell r="Z12">
            <v>1.849784491579884</v>
          </cell>
          <cell r="AI12">
            <v>-0.44260147180396053</v>
          </cell>
        </row>
        <row r="13">
          <cell r="Z13">
            <v>1.967130841296868</v>
          </cell>
          <cell r="AI13">
            <v>-0.4706779202164183</v>
          </cell>
        </row>
        <row r="14">
          <cell r="Z14">
            <v>2.0919213910569279</v>
          </cell>
          <cell r="AI14">
            <v>-0.50053522747096824</v>
          </cell>
        </row>
        <row r="15">
          <cell r="Z15">
            <v>2.2246283849001642</v>
          </cell>
          <cell r="AI15">
            <v>-0.53228631663358184</v>
          </cell>
        </row>
        <row r="16">
          <cell r="Z16">
            <v>2.365754025012901</v>
          </cell>
          <cell r="AI16">
            <v>-0.56605126407666728</v>
          </cell>
        </row>
        <row r="17">
          <cell r="Z17">
            <v>2.5158323722080485</v>
          </cell>
          <cell r="AI17">
            <v>-0.60195775118496531</v>
          </cell>
        </row>
        <row r="18">
          <cell r="Z18">
            <v>2.6754313669678584</v>
          </cell>
          <cell r="AI18">
            <v>-0.64014154429451198</v>
          </cell>
        </row>
        <row r="19">
          <cell r="Z19">
            <v>2.8451549786972743</v>
          </cell>
          <cell r="AI19">
            <v>-0.68074700457035575</v>
          </cell>
        </row>
        <row r="20">
          <cell r="Z20">
            <v>3.0256454913213009</v>
          </cell>
          <cell r="AI20">
            <v>-0.72392762961934531</v>
          </cell>
        </row>
        <row r="21">
          <cell r="Z21">
            <v>3.2175859338757533</v>
          </cell>
          <cell r="AI21">
            <v>-0.7698466287279716</v>
          </cell>
        </row>
        <row r="22">
          <cell r="Z22">
            <v>3.42170266528945</v>
          </cell>
          <cell r="AI22">
            <v>-0.81867753370958052</v>
          </cell>
        </row>
        <row r="23">
          <cell r="Z23">
            <v>3.6387681231394358</v>
          </cell>
          <cell r="AI23">
            <v>-0.87060484744162547</v>
          </cell>
        </row>
        <row r="24">
          <cell r="Z24">
            <v>3.8696037467813236</v>
          </cell>
          <cell r="AI24">
            <v>-0.92582473226935946</v>
          </cell>
        </row>
        <row r="25">
          <cell r="Z25">
            <v>4.1150830859167291</v>
          </cell>
          <cell r="AI25">
            <v>-0.98454574054702648</v>
          </cell>
        </row>
        <row r="26">
          <cell r="Z26">
            <v>4.376135106361553</v>
          </cell>
          <cell r="AI26">
            <v>-1.046989589679993</v>
          </cell>
        </row>
        <row r="27">
          <cell r="Z27">
            <v>4.6537477055250784</v>
          </cell>
          <cell r="AI27">
            <v>-1.1133919841180082</v>
          </cell>
        </row>
        <row r="28">
          <cell r="Z28">
            <v>4.9489714509035139</v>
          </cell>
          <cell r="AI28">
            <v>-1.184003486830947</v>
          </cell>
        </row>
        <row r="29">
          <cell r="Z29">
            <v>5.2629235557355134</v>
          </cell>
          <cell r="AI29">
            <v>-1.25909044286813</v>
          </cell>
        </row>
        <row r="30">
          <cell r="Z30">
            <v>5.5967921068647417</v>
          </cell>
          <cell r="AI30">
            <v>-1.3389359576592914</v>
          </cell>
        </row>
        <row r="31">
          <cell r="Z31">
            <v>5.9518405608089449</v>
          </cell>
          <cell r="AI31">
            <v>-1.423840932754149</v>
          </cell>
        </row>
        <row r="32">
          <cell r="Z32">
            <v>6.3294125250499764</v>
          </cell>
          <cell r="AI32">
            <v>-1.5141251617122169</v>
          </cell>
        </row>
        <row r="33">
          <cell r="Z33">
            <v>6.7309368426385694</v>
          </cell>
          <cell r="AI33">
            <v>-1.6101284888399865</v>
          </cell>
        </row>
        <row r="34">
          <cell r="Z34">
            <v>7.1579329993555039</v>
          </cell>
          <cell r="AI34">
            <v>-1.7122120334188695</v>
          </cell>
        </row>
        <row r="35">
          <cell r="Z35">
            <v>7.6120168738914558</v>
          </cell>
          <cell r="AI35">
            <v>-1.820759481966252</v>
          </cell>
        </row>
        <row r="36">
          <cell r="Z36">
            <v>8.0949068528058863</v>
          </cell>
          <cell r="AI36">
            <v>-1.9361784509111435</v>
          </cell>
        </row>
        <row r="37">
          <cell r="Z37">
            <v>8.6084303334057619</v>
          </cell>
          <cell r="AI37">
            <v>-2.0589019218305231</v>
          </cell>
        </row>
        <row r="38">
          <cell r="Z38">
            <v>9.1545306391529166</v>
          </cell>
          <cell r="AI38">
            <v>-2.1893897510670457</v>
          </cell>
        </row>
        <row r="39">
          <cell r="Z39">
            <v>9.7352743737700074</v>
          </cell>
          <cell r="AI39">
            <v>-2.3281302551108847</v>
          </cell>
        </row>
        <row r="40">
          <cell r="Z40">
            <v>10.352859241875105</v>
          </cell>
          <cell r="AI40">
            <v>-2.4756418725558538</v>
          </cell>
        </row>
        <row r="41">
          <cell r="Z41">
            <v>11.009622365740512</v>
          </cell>
          <cell r="AI41">
            <v>-2.6324749027012446</v>
          </cell>
        </row>
        <row r="42">
          <cell r="Z42">
            <v>11.708049129648925</v>
          </cell>
          <cell r="AI42">
            <v>-2.7992133199336693</v>
          </cell>
        </row>
        <row r="43">
          <cell r="Z43">
            <v>12.4507825853165</v>
          </cell>
          <cell r="AI43">
            <v>-2.9764766618443934</v>
          </cell>
        </row>
        <row r="44">
          <cell r="Z44">
            <v>13.240633453975693</v>
          </cell>
          <cell r="AI44">
            <v>-3.164921987570589</v>
          </cell>
        </row>
        <row r="45">
          <cell r="Z45">
            <v>14.080590762968805</v>
          </cell>
          <cell r="AI45">
            <v>-3.3652459010351654</v>
          </cell>
        </row>
        <row r="46">
          <cell r="Z46">
            <v>14.973833157104059</v>
          </cell>
          <cell r="AI46">
            <v>-3.5781866315330149</v>
          </cell>
        </row>
        <row r="47">
          <cell r="Z47">
            <v>15.923740927579823</v>
          </cell>
          <cell r="AI47">
            <v>-3.804526161393651</v>
          </cell>
        </row>
        <row r="48">
          <cell r="Z48">
            <v>16.933908803997952</v>
          </cell>
          <cell r="AI48">
            <v>-4.0450923871503175</v>
          </cell>
        </row>
        <row r="49">
          <cell r="Z49">
            <v>18.008159557874837</v>
          </cell>
          <cell r="AI49">
            <v>-4.3007612966594388</v>
          </cell>
        </row>
        <row r="50">
          <cell r="Z50">
            <v>19.150558469130036</v>
          </cell>
          <cell r="AI50">
            <v>-4.5724591398221559</v>
          </cell>
        </row>
        <row r="51">
          <cell r="Z51">
            <v>20.365428710297824</v>
          </cell>
          <cell r="AI51">
            <v>-4.8611645648267992</v>
          </cell>
        </row>
        <row r="52">
          <cell r="Z52">
            <v>21.657367706679931</v>
          </cell>
          <cell r="AI52">
            <v>-5.1679106850031022</v>
          </cell>
        </row>
        <row r="53">
          <cell r="Z53">
            <v>23.031264534351347</v>
          </cell>
          <cell r="AI53">
            <v>-5.4937870332934695</v>
          </cell>
        </row>
        <row r="54">
          <cell r="Z54">
            <v>24.492318421858034</v>
          </cell>
          <cell r="AI54">
            <v>-5.8399413518123824</v>
          </cell>
        </row>
        <row r="55">
          <cell r="Z55">
            <v>26.046058425622668</v>
          </cell>
          <cell r="AI55">
            <v>-6.2075811528007314</v>
          </cell>
        </row>
        <row r="56">
          <cell r="Z56">
            <v>27.698364353515743</v>
          </cell>
          <cell r="AI56">
            <v>-6.5979749742753002</v>
          </cell>
        </row>
        <row r="57">
          <cell r="Z57">
            <v>29.45548901577305</v>
          </cell>
          <cell r="AI57">
            <v>-7.0124532386473106</v>
          </cell>
        </row>
        <row r="58">
          <cell r="Z58">
            <v>31.324081887463471</v>
          </cell>
          <cell r="AI58">
            <v>-7.4524086053463705</v>
          </cell>
        </row>
        <row r="59">
          <cell r="Z59">
            <v>33.311214272052936</v>
          </cell>
          <cell r="AI59">
            <v>-7.9192956889129551</v>
          </cell>
        </row>
        <row r="60">
          <cell r="Z60">
            <v>35.424406061290533</v>
          </cell>
          <cell r="AI60">
            <v>-8.4146299920454517</v>
          </cell>
        </row>
        <row r="61">
          <cell r="Z61">
            <v>37.67165419268462</v>
          </cell>
          <cell r="AI61">
            <v>-8.9399858787311821</v>
          </cell>
        </row>
        <row r="62">
          <cell r="Z62">
            <v>40.061462912259522</v>
          </cell>
          <cell r="AI62">
            <v>-9.4969933860733207</v>
          </cell>
        </row>
        <row r="63">
          <cell r="Z63">
            <v>42.602875957116908</v>
          </cell>
          <cell r="AI63">
            <v>-10.087333645138447</v>
          </cell>
        </row>
        <row r="64">
          <cell r="Z64">
            <v>45.305510779589277</v>
          </cell>
          <cell r="AI64">
            <v>-10.71273265184063</v>
          </cell>
        </row>
        <row r="65">
          <cell r="Z65">
            <v>48.179594942500358</v>
          </cell>
          <cell r="AI65">
            <v>-11.374953099657228</v>
          </cell>
        </row>
        <row r="66">
          <cell r="Z66">
            <v>51.236004823262483</v>
          </cell>
          <cell r="AI66">
            <v>-12.075783958499066</v>
          </cell>
        </row>
        <row r="67">
          <cell r="Z67">
            <v>54.486306773278585</v>
          </cell>
          <cell r="AI67">
            <v>-12.817027460634787</v>
          </cell>
        </row>
        <row r="68">
          <cell r="Z68">
            <v>57.94280088840825</v>
          </cell>
          <cell r="AI68">
            <v>-13.600483138279156</v>
          </cell>
        </row>
        <row r="69">
          <cell r="Z69">
            <v>61.61856755613799</v>
          </cell>
          <cell r="AI69">
            <v>-14.427928552311434</v>
          </cell>
        </row>
        <row r="70">
          <cell r="Z70">
            <v>65.527516955603716</v>
          </cell>
          <cell r="AI70">
            <v>-15.301096362582202</v>
          </cell>
        </row>
        <row r="71">
          <cell r="Z71">
            <v>69.684441697788372</v>
          </cell>
          <cell r="AI71">
            <v>-16.221647423442462</v>
          </cell>
        </row>
        <row r="72">
          <cell r="Z72">
            <v>74.105072805100434</v>
          </cell>
          <cell r="AI72">
            <v>-17.191139650437155</v>
          </cell>
        </row>
        <row r="73">
          <cell r="Z73">
            <v>78.806139242176371</v>
          </cell>
          <cell r="AI73">
            <v>-18.210992503162743</v>
          </cell>
        </row>
        <row r="74">
          <cell r="Z74">
            <v>83.805431223189501</v>
          </cell>
          <cell r="AI74">
            <v>-19.282447072840149</v>
          </cell>
        </row>
        <row r="75">
          <cell r="Z75">
            <v>89.121867535237712</v>
          </cell>
          <cell r="AI75">
            <v>-20.406521958198322</v>
          </cell>
        </row>
        <row r="76">
          <cell r="Z76">
            <v>94.775567132582992</v>
          </cell>
          <cell r="AI76">
            <v>-21.583965364858773</v>
          </cell>
        </row>
        <row r="77">
          <cell r="Z77">
            <v>100.78792527267464</v>
          </cell>
          <cell r="AI77">
            <v>-22.81520417296024</v>
          </cell>
        </row>
        <row r="78">
          <cell r="Z78">
            <v>107.18169448207877</v>
          </cell>
          <cell r="AI78">
            <v>-24.100291081113195</v>
          </cell>
        </row>
        <row r="79">
          <cell r="Z79">
            <v>113.98107065871142</v>
          </cell>
          <cell r="AI79">
            <v>-25.438851339921477</v>
          </cell>
        </row>
        <row r="80">
          <cell r="Z80">
            <v>121.21178463621371</v>
          </cell>
          <cell r="AI80">
            <v>-26.830031013502186</v>
          </cell>
        </row>
        <row r="81">
          <cell r="Z81">
            <v>128.90119955697148</v>
          </cell>
          <cell r="AI81">
            <v>-28.2724491196645</v>
          </cell>
        </row>
        <row r="82">
          <cell r="Z82">
            <v>137.07841442227294</v>
          </cell>
          <cell r="AI82">
            <v>-29.764156354399585</v>
          </cell>
        </row>
        <row r="83">
          <cell r="Z83">
            <v>145.77437421146283</v>
          </cell>
          <cell r="AI83">
            <v>-31.30260335043091</v>
          </cell>
        </row>
        <row r="84">
          <cell r="Z84">
            <v>155.02198698682062</v>
          </cell>
          <cell r="AI84">
            <v>-32.884621494262198</v>
          </cell>
        </row>
        <row r="85">
          <cell r="Z85">
            <v>164.85624842731968</v>
          </cell>
          <cell r="AI85">
            <v>-34.506419175507403</v>
          </cell>
        </row>
        <row r="86">
          <cell r="Z86">
            <v>175.3143742625403</v>
          </cell>
          <cell r="AI86">
            <v>-36.163595922812732</v>
          </cell>
        </row>
        <row r="87">
          <cell r="Z87">
            <v>186.43594110790573</v>
          </cell>
          <cell r="AI87">
            <v>-37.851176172540072</v>
          </cell>
        </row>
        <row r="88">
          <cell r="Z88">
            <v>198.26303623420247</v>
          </cell>
          <cell r="AI88">
            <v>-39.563663433664836</v>
          </cell>
        </row>
        <row r="89">
          <cell r="Z89">
            <v>210.84041683815525</v>
          </cell>
          <cell r="AI89">
            <v>-41.295114409760536</v>
          </cell>
        </row>
        <row r="90">
          <cell r="Z90">
            <v>224.21567941678887</v>
          </cell>
          <cell r="AI90">
            <v>-43.039231312269678</v>
          </cell>
        </row>
        <row r="91">
          <cell r="Z91">
            <v>238.43943988652958</v>
          </cell>
          <cell r="AI91">
            <v>-44.789469277411179</v>
          </cell>
        </row>
        <row r="92">
          <cell r="Z92">
            <v>253.56552512868072</v>
          </cell>
          <cell r="AI92">
            <v>-46.539154628138981</v>
          </cell>
        </row>
        <row r="93">
          <cell r="Z93">
            <v>269.65117668612646</v>
          </cell>
          <cell r="AI93">
            <v>-48.281608843558757</v>
          </cell>
        </row>
        <row r="94">
          <cell r="Z94">
            <v>286.75726738211927</v>
          </cell>
          <cell r="AI94">
            <v>-50.010272623071856</v>
          </cell>
        </row>
        <row r="95">
          <cell r="Z95">
            <v>304.94853168089651</v>
          </cell>
          <cell r="AI95">
            <v>-51.71882442373402</v>
          </cell>
        </row>
        <row r="96">
          <cell r="Z96">
            <v>324.29381066187881</v>
          </cell>
          <cell r="AI96">
            <v>-53.401288308039852</v>
          </cell>
        </row>
        <row r="97">
          <cell r="Z97">
            <v>344.8663125345048</v>
          </cell>
          <cell r="AI97">
            <v>-55.05212680522385</v>
          </cell>
        </row>
        <row r="98">
          <cell r="Z98">
            <v>366.74388967956821</v>
          </cell>
          <cell r="AI98">
            <v>-56.666315651713774</v>
          </cell>
        </row>
        <row r="99">
          <cell r="Z99">
            <v>390.00933326545766</v>
          </cell>
          <cell r="AI99">
            <v>-58.239398595228124</v>
          </cell>
        </row>
        <row r="100">
          <cell r="Z100">
            <v>414.75068655422291</v>
          </cell>
          <cell r="AI100">
            <v>-59.767521775892071</v>
          </cell>
        </row>
        <row r="101">
          <cell r="Z101">
            <v>441.06157808309626</v>
          </cell>
          <cell r="AI101">
            <v>-61.247448406705416</v>
          </cell>
        </row>
        <row r="102">
          <cell r="Z102">
            <v>469.04157598234281</v>
          </cell>
          <cell r="AI102">
            <v>-62.676555467625604</v>
          </cell>
        </row>
        <row r="103">
          <cell r="Z103">
            <v>498.79656477026373</v>
          </cell>
          <cell r="AI103">
            <v>-64.052814846134225</v>
          </cell>
        </row>
        <row r="104">
          <cell r="Z104">
            <v>530.4391460512702</v>
          </cell>
          <cell r="AI104">
            <v>-65.374761786953115</v>
          </cell>
        </row>
        <row r="105">
          <cell r="Z105">
            <v>564.08906463337905</v>
          </cell>
          <cell r="AI105">
            <v>-66.641453673345225</v>
          </cell>
        </row>
        <row r="106">
          <cell r="Z106">
            <v>599.87366167768641</v>
          </cell>
          <cell r="AI106">
            <v>-67.852422094975836</v>
          </cell>
        </row>
        <row r="107">
          <cell r="Z107">
            <v>637.92835659466812</v>
          </cell>
          <cell r="AI107">
            <v>-69.00762091829327</v>
          </cell>
        </row>
        <row r="108">
          <cell r="Z108">
            <v>678.39715951094945</v>
          </cell>
          <cell r="AI108">
            <v>-70.107372723387442</v>
          </cell>
        </row>
        <row r="109">
          <cell r="Z109">
            <v>721.43321624585462</v>
          </cell>
          <cell r="AI109">
            <v>-71.152315560209431</v>
          </cell>
        </row>
        <row r="110">
          <cell r="Z110">
            <v>767.19938786011153</v>
          </cell>
          <cell r="AI110">
            <v>-72.143351551585368</v>
          </cell>
        </row>
        <row r="111">
          <cell r="Z111">
            <v>815.86886696986198</v>
          </cell>
          <cell r="AI111">
            <v>-73.081598464030833</v>
          </cell>
        </row>
        <row r="112">
          <cell r="Z112">
            <v>867.62583315832671</v>
          </cell>
          <cell r="AI112">
            <v>-73.968345002142044</v>
          </cell>
        </row>
        <row r="113">
          <cell r="Z113">
            <v>922.66614996535543</v>
          </cell>
          <cell r="AI113">
            <v>-74.805010270607582</v>
          </cell>
        </row>
        <row r="114">
          <cell r="Z114">
            <v>981.19810609251715</v>
          </cell>
          <cell r="AI114">
            <v>-75.593107594085268</v>
          </cell>
        </row>
        <row r="115">
          <cell r="Z115">
            <v>1043.443203628628</v>
          </cell>
          <cell r="AI115">
            <v>-76.334212688044772</v>
          </cell>
        </row>
        <row r="116">
          <cell r="Z116">
            <v>1109.6369962786232</v>
          </cell>
          <cell r="AI116">
            <v>-77.029936028281867</v>
          </cell>
        </row>
        <row r="117">
          <cell r="Z117">
            <v>1180.0299807678607</v>
          </cell>
          <cell r="AI117">
            <v>-77.681899166166332</v>
          </cell>
        </row>
        <row r="118">
          <cell r="Z118">
            <v>1254.8885447951977</v>
          </cell>
          <cell r="AI118">
            <v>-78.291714673095356</v>
          </cell>
        </row>
        <row r="119">
          <cell r="Z119">
            <v>1334.4959751221782</v>
          </cell>
          <cell r="AI119">
            <v>-78.86096936344515</v>
          </cell>
        </row>
        <row r="120">
          <cell r="Z120">
            <v>1419.1535296132129</v>
          </cell>
          <cell r="AI120">
            <v>-79.391210433554718</v>
          </cell>
        </row>
        <row r="121">
          <cell r="Z121">
            <v>1509.1815772837017</v>
          </cell>
          <cell r="AI121">
            <v>-79.883934158888508</v>
          </cell>
        </row>
        <row r="122">
          <cell r="Z122">
            <v>1604.9208106703452</v>
          </cell>
          <cell r="AI122">
            <v>-80.340576807448983</v>
          </cell>
        </row>
        <row r="123">
          <cell r="Z123">
            <v>1706.7335351116335</v>
          </cell>
          <cell r="AI123">
            <v>-80.762507450733835</v>
          </cell>
        </row>
        <row r="124">
          <cell r="Z124">
            <v>1815.0050398174897</v>
          </cell>
          <cell r="AI124">
            <v>-81.151022380927287</v>
          </cell>
        </row>
        <row r="125">
          <cell r="Z125">
            <v>1930.1450559166665</v>
          </cell>
          <cell r="AI125">
            <v>-81.507340872261963</v>
          </cell>
        </row>
        <row r="126">
          <cell r="Z126">
            <v>2052.58930699948</v>
          </cell>
          <cell r="AI126">
            <v>-81.832602053935204</v>
          </cell>
        </row>
        <row r="127">
          <cell r="Z127">
            <v>2182.8011580236971</v>
          </cell>
          <cell r="AI127">
            <v>-82.127862690454464</v>
          </cell>
        </row>
        <row r="128">
          <cell r="Z128">
            <v>2321.2733688234066</v>
          </cell>
          <cell r="AI128">
            <v>-82.394095692125092</v>
          </cell>
        </row>
        <row r="129">
          <cell r="Z129">
            <v>2468.5299588567814</v>
          </cell>
          <cell r="AI129">
            <v>-82.632189203144534</v>
          </cell>
        </row>
        <row r="130">
          <cell r="Z130">
            <v>2625.1281902493761</v>
          </cell>
          <cell r="AI130">
            <v>-82.842946137261421</v>
          </cell>
        </row>
        <row r="131">
          <cell r="Z131">
            <v>2791.6606766374607</v>
          </cell>
          <cell r="AI131">
            <v>-83.027084051166227</v>
          </cell>
        </row>
        <row r="132">
          <cell r="Z132">
            <v>2968.757625791824</v>
          </cell>
          <cell r="AI132">
            <v>-83.185235263807513</v>
          </cell>
        </row>
        <row r="133">
          <cell r="Z133">
            <v>3157.0892245088098</v>
          </cell>
          <cell r="AI133">
            <v>-83.317947145819645</v>
          </cell>
        </row>
        <row r="134">
          <cell r="Z134">
            <v>3357.3681747937244</v>
          </cell>
          <cell r="AI134">
            <v>-83.425682517438872</v>
          </cell>
        </row>
        <row r="135">
          <cell r="Z135">
            <v>3570.3523909342362</v>
          </cell>
          <cell r="AI135">
            <v>-83.508820105895026</v>
          </cell>
        </row>
        <row r="136">
          <cell r="Z136">
            <v>3796.8478676703417</v>
          </cell>
          <cell r="AI136">
            <v>-83.567655024558576</v>
          </cell>
        </row>
        <row r="137">
          <cell r="Z137">
            <v>4037.7117303148448</v>
          </cell>
          <cell r="AI137">
            <v>-83.602399246344902</v>
          </cell>
        </row>
        <row r="138">
          <cell r="Z138">
            <v>4293.8554783669315</v>
          </cell>
          <cell r="AI138">
            <v>-83.613182053292022</v>
          </cell>
        </row>
        <row r="139">
          <cell r="Z139">
            <v>4566.248434893605</v>
          </cell>
          <cell r="AI139">
            <v>-83.600050453082403</v>
          </cell>
        </row>
        <row r="140">
          <cell r="Z140">
            <v>4855.9214147324665</v>
          </cell>
          <cell r="AI140">
            <v>-83.5629695618249</v>
          </cell>
        </row>
        <row r="141">
          <cell r="Z141">
            <v>5163.9706253973836</v>
          </cell>
          <cell r="AI141">
            <v>-83.5018229609027</v>
          </cell>
        </row>
        <row r="142">
          <cell r="Z142">
            <v>5491.5618154492358</v>
          </cell>
          <cell r="AI142">
            <v>-83.416413044366493</v>
          </cell>
        </row>
        <row r="143">
          <cell r="Z143">
            <v>5839.9346860303567</v>
          </cell>
          <cell r="AI143">
            <v>-83.306461382467688</v>
          </cell>
        </row>
        <row r="144">
          <cell r="Z144">
            <v>6210.4075822572904</v>
          </cell>
          <cell r="AI144">
            <v>-83.171609136728549</v>
          </cell>
        </row>
        <row r="145">
          <cell r="Z145">
            <v>6604.3824822253073</v>
          </cell>
          <cell r="AI145">
            <v>-83.011417572692821</v>
          </cell>
        </row>
        <row r="146">
          <cell r="Z146">
            <v>7023.3503025047467</v>
          </cell>
          <cell r="AI146">
            <v>-82.825368728446676</v>
          </cell>
        </row>
        <row r="147">
          <cell r="Z147">
            <v>7468.8965402065769</v>
          </cell>
          <cell r="AI147">
            <v>-82.612866310399383</v>
          </cell>
        </row>
        <row r="148">
          <cell r="Z148">
            <v>7942.7072729684578</v>
          </cell>
          <cell r="AI148">
            <v>-82.373236902914059</v>
          </cell>
        </row>
        <row r="149">
          <cell r="Z149">
            <v>8446.5755395671058</v>
          </cell>
          <cell r="AI149">
            <v>-82.10573159540364</v>
          </cell>
        </row>
        <row r="150">
          <cell r="Z150">
            <v>8982.4081253027471</v>
          </cell>
          <cell r="AI150">
            <v>-81.809528149658718</v>
          </cell>
        </row>
        <row r="151">
          <cell r="Z151">
            <v>9552.2327778341514</v>
          </cell>
          <cell r="AI151">
            <v>-81.483733851571529</v>
          </cell>
        </row>
        <row r="152">
          <cell r="Z152">
            <v>10158.205880770249</v>
          </cell>
          <cell r="AI152">
            <v>-81.127389215123486</v>
          </cell>
        </row>
        <row r="153">
          <cell r="Z153">
            <v>10802.620614058389</v>
          </cell>
          <cell r="AI153">
            <v>-80.739472732408217</v>
          </cell>
        </row>
        <row r="154">
          <cell r="Z154">
            <v>11487.915632049675</v>
          </cell>
          <cell r="AI154">
            <v>-80.318906891292016</v>
          </cell>
        </row>
        <row r="155">
          <cell r="Z155">
            <v>12216.684292082227</v>
          </cell>
          <cell r="AI155">
            <v>-79.864565711511219</v>
          </cell>
        </row>
        <row r="156">
          <cell r="Z156">
            <v>12991.684468506162</v>
          </cell>
          <cell r="AI156">
            <v>-79.375284079672412</v>
          </cell>
        </row>
        <row r="157">
          <cell r="Z157">
            <v>13815.848989288772</v>
          </cell>
          <cell r="AI157">
            <v>-78.849869192377128</v>
          </cell>
        </row>
        <row r="158">
          <cell r="Z158">
            <v>14692.296734695852</v>
          </cell>
          <cell r="AI158">
            <v>-78.287114442571095</v>
          </cell>
        </row>
        <row r="159">
          <cell r="Z159">
            <v>15624.344440049217</v>
          </cell>
          <cell r="AI159">
            <v>-77.685816104547811</v>
          </cell>
        </row>
        <row r="160">
          <cell r="Z160">
            <v>16615.519247226184</v>
          </cell>
          <cell r="AI160">
            <v>-77.0447931842522</v>
          </cell>
        </row>
        <row r="161">
          <cell r="Z161">
            <v>17669.572052398642</v>
          </cell>
          <cell r="AI161">
            <v>-76.362910799144842</v>
          </cell>
        </row>
        <row r="162">
          <cell r="Z162">
            <v>18790.49170052441</v>
          </cell>
          <cell r="AI162">
            <v>-75.639107430344211</v>
          </cell>
        </row>
        <row r="163">
          <cell r="Z163">
            <v>19982.5200803064</v>
          </cell>
          <cell r="AI163">
            <v>-74.872426342542155</v>
          </cell>
        </row>
        <row r="164">
          <cell r="Z164">
            <v>21250.168176743602</v>
          </cell>
          <cell r="AI164">
            <v>-74.062051386930293</v>
          </cell>
        </row>
        <row r="165">
          <cell r="Z165">
            <v>22598.233142021272</v>
          </cell>
          <cell r="AI165">
            <v>-73.207347281315336</v>
          </cell>
        </row>
        <row r="166">
          <cell r="Z166">
            <v>24031.816449341983</v>
          </cell>
          <cell r="AI166">
            <v>-72.307904292235307</v>
          </cell>
        </row>
        <row r="167">
          <cell r="Z167">
            <v>25556.343198396022</v>
          </cell>
          <cell r="AI167">
            <v>-71.363587020038352</v>
          </cell>
        </row>
        <row r="168">
          <cell r="Z168">
            <v>27177.582645530147</v>
          </cell>
          <cell r="AI168">
            <v>-70.374586706121903</v>
          </cell>
        </row>
        <row r="169">
          <cell r="Z169">
            <v>28901.670036305419</v>
          </cell>
          <cell r="AI169">
            <v>-69.341476143040538</v>
          </cell>
        </row>
        <row r="170">
          <cell r="Z170">
            <v>30735.129823066054</v>
          </cell>
          <cell r="AI170">
            <v>-68.265265880886076</v>
          </cell>
        </row>
        <row r="171">
          <cell r="Z171">
            <v>32684.900355380338</v>
          </cell>
          <cell r="AI171">
            <v>-67.147460003989934</v>
          </cell>
        </row>
        <row r="172">
          <cell r="Z172">
            <v>34758.360136790499</v>
          </cell>
          <cell r="AI172">
            <v>-65.99010932804147</v>
          </cell>
        </row>
        <row r="173">
          <cell r="Z173">
            <v>36963.355747234389</v>
          </cell>
          <cell r="AI173">
            <v>-64.795859478000963</v>
          </cell>
        </row>
        <row r="174">
          <cell r="Z174">
            <v>39308.231536804677</v>
          </cell>
          <cell r="AI174">
            <v>-63.567991001218999</v>
          </cell>
        </row>
        <row r="175">
          <cell r="Z175">
            <v>41801.861203217486</v>
          </cell>
          <cell r="AI175">
            <v>-62.31044850477452</v>
          </cell>
        </row>
        <row r="176">
          <cell r="Z176">
            <v>44453.681372487059</v>
          </cell>
          <cell r="AI176">
            <v>-61.027855839467477</v>
          </cell>
        </row>
        <row r="177">
          <cell r="Z177">
            <v>47273.727309885995</v>
          </cell>
          <cell r="AI177">
            <v>-59.725514635927944</v>
          </cell>
        </row>
        <row r="178">
          <cell r="Z178">
            <v>50272.670896332245</v>
          </cell>
          <cell r="AI178">
            <v>-58.409384063545794</v>
          </cell>
        </row>
        <row r="179">
          <cell r="Z179">
            <v>53461.861013916772</v>
          </cell>
          <cell r="AI179">
            <v>-57.086040533777485</v>
          </cell>
        </row>
        <row r="180">
          <cell r="Z180">
            <v>56853.366493401947</v>
          </cell>
          <cell r="AI180">
            <v>-55.762617171165033</v>
          </cell>
        </row>
        <row r="181">
          <cell r="Z181">
            <v>60460.02178621637</v>
          </cell>
          <cell r="AI181">
            <v>-54.446724151684151</v>
          </cell>
        </row>
        <row r="182">
          <cell r="Z182">
            <v>64295.47553378361</v>
          </cell>
          <cell r="AI182">
            <v>-53.146352344260698</v>
          </cell>
        </row>
        <row r="183">
          <cell r="Z183">
            <v>68374.242217984312</v>
          </cell>
          <cell r="AI183">
            <v>-51.869763947058459</v>
          </cell>
        </row>
        <row r="184">
          <cell r="Z184">
            <v>72711.757088212587</v>
          </cell>
          <cell r="AI184">
            <v>-50.62537483873875</v>
          </cell>
        </row>
        <row r="185">
          <cell r="Z185">
            <v>77324.434572886516</v>
          </cell>
          <cell r="AI185">
            <v>-49.421634037211462</v>
          </cell>
        </row>
        <row r="186">
          <cell r="Z186">
            <v>82229.730396460247</v>
          </cell>
          <cell r="AI186">
            <v>-48.266905885579291</v>
          </cell>
        </row>
        <row r="187">
          <cell r="Z187">
            <v>87446.207637003507</v>
          </cell>
          <cell r="AI187">
            <v>-47.169360335137043</v>
          </cell>
        </row>
        <row r="188">
          <cell r="Z188">
            <v>92993.606974334747</v>
          </cell>
          <cell r="AI188">
            <v>-46.136875999393219</v>
          </cell>
        </row>
        <row r="189">
          <cell r="Z189">
            <v>98892.921394542427</v>
          </cell>
          <cell r="AI189">
            <v>-45.176959599117851</v>
          </cell>
        </row>
        <row r="190">
          <cell r="Z190">
            <v>105166.47563360249</v>
          </cell>
          <cell r="AI190">
            <v>-44.296684134785608</v>
          </cell>
        </row>
        <row r="191">
          <cell r="Z191">
            <v>111838.01066072512</v>
          </cell>
          <cell r="AI191">
            <v>-43.50264675564101</v>
          </cell>
        </row>
        <row r="192">
          <cell r="Z192">
            <v>118932.77352114675</v>
          </cell>
          <cell r="AI192">
            <v>-42.800945983951806</v>
          </cell>
        </row>
        <row r="193">
          <cell r="Z193">
            <v>126477.61287835392</v>
          </cell>
          <cell r="AI193">
            <v>-42.197176813222654</v>
          </cell>
        </row>
        <row r="194">
          <cell r="Z194">
            <v>134501.0806172993</v>
          </cell>
          <cell r="AI194">
            <v>-41.696441306611348</v>
          </cell>
        </row>
        <row r="195">
          <cell r="Z195">
            <v>143033.53989310883</v>
          </cell>
          <cell r="AI195">
            <v>-41.303371711348923</v>
          </cell>
        </row>
        <row r="196">
          <cell r="Z196">
            <v>152107.28003416685</v>
          </cell>
          <cell r="AI196">
            <v>-41.022162773651218</v>
          </cell>
        </row>
        <row r="197">
          <cell r="Z197">
            <v>161756.63873440344</v>
          </cell>
          <cell r="AI197">
            <v>-40.856609854514879</v>
          </cell>
        </row>
        <row r="198">
          <cell r="Z198">
            <v>172018.13199719929</v>
          </cell>
          <cell r="AI198">
            <v>-40.810149560286554</v>
          </cell>
        </row>
        <row r="199">
          <cell r="Z199">
            <v>182930.59232265301</v>
          </cell>
          <cell r="AI199">
            <v>-40.885899856543205</v>
          </cell>
        </row>
        <row r="200">
          <cell r="Z200">
            <v>194535.31566115122</v>
          </cell>
          <cell r="AI200">
            <v>-41.086696975273121</v>
          </cell>
        </row>
        <row r="201">
          <cell r="Z201">
            <v>206876.21768935499</v>
          </cell>
          <cell r="AI201">
            <v>-41.415126807756721</v>
          </cell>
        </row>
        <row r="202">
          <cell r="AI202">
            <v>-41.873548864724313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 Max load Thermal resul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14"/>
  <sheetViews>
    <sheetView tabSelected="1" topLeftCell="A31" zoomScaleNormal="100" workbookViewId="0">
      <selection activeCell="D48" sqref="D48"/>
    </sheetView>
  </sheetViews>
  <sheetFormatPr defaultRowHeight="15"/>
  <cols>
    <col min="1" max="1" width="46.28515625" style="12" customWidth="1"/>
    <col min="2" max="2" width="22.42578125" customWidth="1"/>
    <col min="3" max="3" width="9.140625" style="12"/>
    <col min="4" max="4" width="18.42578125" style="5" customWidth="1"/>
    <col min="5" max="5" width="6.28515625" style="12" customWidth="1"/>
    <col min="6" max="6" width="9.140625" style="12" hidden="1" customWidth="1"/>
    <col min="7" max="7" width="13.85546875" style="12" hidden="1" customWidth="1"/>
    <col min="8" max="8" width="9.140625" style="12"/>
    <col min="9" max="9" width="9.140625" style="12" customWidth="1"/>
    <col min="10" max="11" width="12.28515625" style="12" bestFit="1" customWidth="1"/>
    <col min="12" max="12" width="12.28515625" style="12" customWidth="1"/>
    <col min="13" max="16" width="9.140625" style="12"/>
    <col min="17" max="17" width="8.7109375" style="12" customWidth="1"/>
    <col min="18" max="18" width="30.7109375" style="24" customWidth="1"/>
    <col min="19" max="23" width="30.7109375" style="24" hidden="1" customWidth="1"/>
    <col min="24" max="24" width="25.7109375" style="24" customWidth="1"/>
    <col min="25" max="46" width="0.140625" style="24" customWidth="1"/>
    <col min="47" max="47" width="25.7109375" style="12" customWidth="1"/>
    <col min="48" max="48" width="8.7109375" style="12" customWidth="1"/>
    <col min="49" max="71" width="9.140625" style="12"/>
  </cols>
  <sheetData>
    <row r="1" spans="1:71" s="1" customFormat="1">
      <c r="A1" s="11" t="s">
        <v>0</v>
      </c>
      <c r="B1" s="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4"/>
      <c r="S1" s="24" t="s">
        <v>30</v>
      </c>
      <c r="T1" s="24">
        <f>B17</f>
        <v>0.26632258064516129</v>
      </c>
      <c r="U1" s="24"/>
      <c r="V1" s="24"/>
      <c r="W1" s="24"/>
      <c r="X1" s="24"/>
      <c r="Y1" s="24"/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  <c r="AE1" s="24" t="s">
        <v>36</v>
      </c>
      <c r="AF1" s="24" t="s">
        <v>37</v>
      </c>
      <c r="AG1" s="24" t="s">
        <v>38</v>
      </c>
      <c r="AH1" s="24" t="s">
        <v>39</v>
      </c>
      <c r="AI1" s="25" t="s">
        <v>40</v>
      </c>
      <c r="AJ1" s="25" t="s">
        <v>41</v>
      </c>
      <c r="AK1" s="25" t="s">
        <v>42</v>
      </c>
      <c r="AL1" s="25" t="s">
        <v>43</v>
      </c>
      <c r="AM1" s="25" t="s">
        <v>44</v>
      </c>
      <c r="AN1" s="25" t="s">
        <v>45</v>
      </c>
      <c r="AO1" s="25" t="s">
        <v>46</v>
      </c>
      <c r="AP1" s="24" t="s">
        <v>39</v>
      </c>
      <c r="AQ1" s="25" t="s">
        <v>40</v>
      </c>
      <c r="AR1" s="25" t="s">
        <v>41</v>
      </c>
      <c r="AS1" s="25" t="s">
        <v>41</v>
      </c>
      <c r="AT1" s="25" t="s">
        <v>40</v>
      </c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s="1" customFormat="1">
      <c r="A2" s="8" t="s">
        <v>2</v>
      </c>
      <c r="B2" s="4">
        <v>24</v>
      </c>
      <c r="C2" s="18" t="s">
        <v>100</v>
      </c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4"/>
      <c r="S2" s="24" t="s">
        <v>49</v>
      </c>
      <c r="T2" s="24">
        <f>1-D_</f>
        <v>0.73367741935483877</v>
      </c>
      <c r="U2" s="24"/>
      <c r="V2" s="24" t="s">
        <v>50</v>
      </c>
      <c r="W2" s="24">
        <f>G10</f>
        <v>6283185.307179587</v>
      </c>
      <c r="X2" s="24"/>
      <c r="Y2" s="24">
        <v>0</v>
      </c>
      <c r="Z2" s="24">
        <f>10^(LOG($G$6/$G$5,10)*Y2/200)</f>
        <v>1</v>
      </c>
      <c r="AA2" s="24" t="str">
        <f>IMPRODUCT(COMPLEX(0,1),2*PI()*Z2)</f>
        <v>6.28318530717959i</v>
      </c>
      <c r="AB2" s="24">
        <f>$B$23/$G$3</f>
        <v>9.4210346008907155</v>
      </c>
      <c r="AC2" s="32">
        <f>1/(1+D7*B23/(D24/1000000)*(G8*(1-B17)-0.5))</f>
        <v>0.86877038448688126</v>
      </c>
      <c r="AD2" s="24" t="str">
        <f>IMDIV(IMSUM(1,IMDIV(AA2,$G$12)),IMSUM(1,IMDIV(AA2,$G$14)))</f>
        <v>0.999999910128754-0.000299345819406996i</v>
      </c>
      <c r="AE2" s="24" t="str">
        <f>IMDIV(1,IMSUM(1,IMDIV(AA2,IMPRODUCT($G$10*$G$11)),IMDIV(IMPRODUCT(AA2,AA2),$G$10*$G$10)))</f>
        <v>0.999999999998369-1.62207854891498E-06i</v>
      </c>
      <c r="AF2" s="24" t="str">
        <f>IF(D_&lt;Dmax,IMPRODUCT(AB2,AC$2,AD2,AE2),0)</f>
        <v>8.18471511292189-0.00246333672429019i</v>
      </c>
      <c r="AG2" s="24">
        <f>IMABS(AF2)</f>
        <v>8.1847154836145517</v>
      </c>
      <c r="AH2" s="24">
        <f>IMARGUMENT(AF2)</f>
        <v>-3.0096791591724235E-4</v>
      </c>
      <c r="AI2" s="24">
        <f t="shared" ref="AI2:AI65" si="0">AH2/(PI())*180</f>
        <v>-1.724419135090622E-2</v>
      </c>
      <c r="AJ2" s="24">
        <f>20*LOG(AG2,10)</f>
        <v>18.260071742048162</v>
      </c>
      <c r="AK2" s="26">
        <f>-0.8/B38*B13*B42</f>
        <v>-336.1702127659575</v>
      </c>
      <c r="AL2" s="24" t="str">
        <f>IMDIV(1,IMSUM(1,IMDIV(AA2,wp2e)))</f>
        <v>0.999640848018638-0.0189479020267635i</v>
      </c>
      <c r="AM2" s="24" t="str">
        <f>IMDIV(IMSUM(1,IMDIV(AA2,wz2e)),IMSUM(1,IMDIV(AA2,wp1e)))</f>
        <v>1.00000000028171+0.00014085714285658i</v>
      </c>
      <c r="AN2" s="24" t="str">
        <f>IMPRODUCT($AK$2,AL2,AM2)</f>
        <v>-336.050373883232+6.3223852884722i</v>
      </c>
      <c r="AO2" s="24">
        <f>IMABS(AN2)</f>
        <v>336.1098426746766</v>
      </c>
      <c r="AP2" s="24">
        <f>IMARGUMENT(AN2)</f>
        <v>3.122781070616627</v>
      </c>
      <c r="AQ2" s="24">
        <f>AP2/(PI())*180</f>
        <v>178.92217568967743</v>
      </c>
      <c r="AR2" s="24">
        <f>20*LOG(AO2,10)</f>
        <v>50.529624611585874</v>
      </c>
      <c r="AS2" s="24">
        <f>AR2+AJ2</f>
        <v>68.789696353634042</v>
      </c>
      <c r="AT2" s="24">
        <f>AQ2+AI2</f>
        <v>178.90493149832653</v>
      </c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s="1" customFormat="1">
      <c r="A3" s="8" t="s">
        <v>3</v>
      </c>
      <c r="B3" s="4">
        <v>7</v>
      </c>
      <c r="C3" s="18" t="s">
        <v>100</v>
      </c>
      <c r="D3" s="18"/>
      <c r="E3" s="12"/>
      <c r="F3" s="27" t="s">
        <v>93</v>
      </c>
      <c r="G3" s="28">
        <v>0.29189999999999999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24"/>
      <c r="S3" s="24" t="s">
        <v>52</v>
      </c>
      <c r="T3" s="24">
        <f>D7</f>
        <v>4.9999999999999998E-7</v>
      </c>
      <c r="U3" s="24" t="s">
        <v>32</v>
      </c>
      <c r="V3" s="24" t="s">
        <v>53</v>
      </c>
      <c r="W3" s="24">
        <f>G11</f>
        <v>0.616492956317237</v>
      </c>
      <c r="X3" s="24"/>
      <c r="Y3" s="24">
        <v>1</v>
      </c>
      <c r="Z3" s="24">
        <f t="shared" ref="Z3:Z66" si="1">10^(LOG($G$6/$G$5,10)*Y3/200)</f>
        <v>1.0634378492473788</v>
      </c>
      <c r="AA3" s="24" t="str">
        <f>IMPRODUCT(COMPLEX(0,1),2*PI()*Z3)</f>
        <v>6.68177706948979i</v>
      </c>
      <c r="AB3" s="24">
        <f t="shared" ref="AB3:AB66" si="2">$B$23/$G$3</f>
        <v>9.4210346008907155</v>
      </c>
      <c r="AC3" s="24"/>
      <c r="AD3" s="24" t="str">
        <f t="shared" ref="AD3:AD66" si="3">IMDIV(IMSUM(1,IMDIV(AA3,$G$12)),IMSUM(1,IMDIV(AA3,$G$14)))</f>
        <v>0.999999898364604-0.000318335670615416i</v>
      </c>
      <c r="AE3" s="24" t="str">
        <f t="shared" ref="AE3:AE66" si="4">IMDIV(1,IMSUM(1,IMDIV(AA3,IMPRODUCT($G$10*$G$11)),IMDIV(IMPRODUCT(AA3,AA3),$G$10*$G$10)))</f>
        <v>0.999999999998155-1.72497972336831E-06i</v>
      </c>
      <c r="AF3" s="24" t="str">
        <f>IF(D_&lt;Dmax,IMPRODUCT(AB3,AC$2,AD3,AE3),0)</f>
        <v>8.18471501611369-0.00261960547714318i</v>
      </c>
      <c r="AG3" s="24">
        <f t="shared" ref="AG3:AG66" si="5">IMABS(AF3)</f>
        <v>8.1847154353300393</v>
      </c>
      <c r="AH3" s="24">
        <f>IMARGUMENT(AF3)</f>
        <v>-3.2006067193983471E-4</v>
      </c>
      <c r="AI3" s="24">
        <f t="shared" si="0"/>
        <v>-1.8338125690273745E-2</v>
      </c>
      <c r="AJ3" s="24">
        <f>20*LOG(AG3,10)</f>
        <v>18.260071690807042</v>
      </c>
      <c r="AK3" s="24"/>
      <c r="AL3" s="24" t="str">
        <f>IMDIV(1,IMSUM(1,IMDIV(AA3,wp2e)))</f>
        <v>0.999593854097156-0.0201489689153009i</v>
      </c>
      <c r="AM3" s="24" t="str">
        <f>IMDIV(IMSUM(1,IMDIV(AA3,wz2e)),IMSUM(1,IMDIV(AA3,wp1e)))</f>
        <v>1.00000000031859+0.000149792817050454i</v>
      </c>
      <c r="AN3" s="24" t="str">
        <f>IMPRODUCT($AK$2,AL3,AM3)</f>
        <v>-336.034693337566+6.72314773808631i</v>
      </c>
      <c r="AO3" s="24">
        <f t="shared" ref="AO3:AO66" si="6">IMABS(AN3)</f>
        <v>336.10194263345181</v>
      </c>
      <c r="AP3" s="24">
        <f t="shared" ref="AP3:AP66" si="7">IMARGUMENT(AN3)</f>
        <v>3.1215880201030228</v>
      </c>
      <c r="AQ3" s="24">
        <f t="shared" ref="AQ3:AQ66" si="8">AP3/(PI())*180</f>
        <v>178.853818930502</v>
      </c>
      <c r="AR3" s="24">
        <f t="shared" ref="AR3:AR66" si="9">20*LOG(AO3,10)</f>
        <v>50.529420453052161</v>
      </c>
      <c r="AS3" s="24">
        <f>AR3+AJ3</f>
        <v>68.789492143859206</v>
      </c>
      <c r="AT3" s="24">
        <f>AQ3+AI3</f>
        <v>178.83548080481174</v>
      </c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1:71" s="1" customFormat="1">
      <c r="A4" s="8" t="s">
        <v>83</v>
      </c>
      <c r="B4" s="4">
        <f>(B2+B3)/2</f>
        <v>15.5</v>
      </c>
      <c r="C4" s="18" t="s">
        <v>100</v>
      </c>
      <c r="D4" s="43"/>
      <c r="E4" s="24"/>
      <c r="F4" s="26" t="s">
        <v>58</v>
      </c>
      <c r="G4" s="29">
        <f>(B4-B5)/D24*G3*1000000</f>
        <v>757697.8723404255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  <c r="S4" s="24"/>
      <c r="T4" s="24"/>
      <c r="U4" s="24"/>
      <c r="V4" s="24"/>
      <c r="W4" s="24"/>
      <c r="X4" s="24"/>
      <c r="Y4" s="24">
        <v>2</v>
      </c>
      <c r="Z4" s="24">
        <f t="shared" si="1"/>
        <v>1.1309000592118907</v>
      </c>
      <c r="AA4" s="24" t="str">
        <f t="shared" ref="AA4:AA67" si="10">IMPRODUCT(COMPLEX(0,1),2*PI()*Z4)</f>
        <v>7.10565463592868i</v>
      </c>
      <c r="AB4" s="24">
        <f t="shared" si="2"/>
        <v>9.4210346008907155</v>
      </c>
      <c r="AC4" s="24"/>
      <c r="AD4" s="24" t="str">
        <f t="shared" si="3"/>
        <v>0.999999885060526-0.000338530196380913i</v>
      </c>
      <c r="AE4" s="24" t="str">
        <f t="shared" si="4"/>
        <v>0.999999999997914-1.83440872701397E-06i</v>
      </c>
      <c r="AF4" s="24" t="str">
        <f t="shared" ref="AF4:AF10" si="11">IF(D_&lt;Dmax,IMPRODUCT(AB4,AC$2,AD4,AE4),0)</f>
        <v>8.1847149066333-0.00278578757731846i</v>
      </c>
      <c r="AG4" s="24">
        <f t="shared" si="5"/>
        <v>8.1847153807250841</v>
      </c>
      <c r="AH4" s="24">
        <f t="shared" ref="AH4:AH35" si="12">IMARGUMENT(AF4)</f>
        <v>-3.4036463108625434E-4</v>
      </c>
      <c r="AI4" s="24">
        <f t="shared" si="0"/>
        <v>-1.9501456856769635E-2</v>
      </c>
      <c r="AJ4" s="24">
        <f t="shared" ref="AJ4:AJ35" si="13">20*LOG(AG4,10)</f>
        <v>18.260071632858462</v>
      </c>
      <c r="AK4" s="24"/>
      <c r="AL4" s="24" t="str">
        <f t="shared" ref="AL4:AL35" si="14">IMDIV(1,IMSUM(1,IMDIV(AA4,wp2e)))</f>
        <v>0.999540713992146-0.0214260370628054i</v>
      </c>
      <c r="AM4" s="24" t="str">
        <f t="shared" ref="AM4:AM35" si="15">IMDIV(IMSUM(1,IMDIV(AA4,wz2e)),IMSUM(1,IMDIV(AA4,wp1e)))</f>
        <v>1.00000000036029+0.000159295351196745i</v>
      </c>
      <c r="AN4" s="24" t="str">
        <f t="shared" ref="AN4:AN35" si="16">IMPRODUCT($AK$2,AL4,AM4)</f>
        <v>-336.016961983869+7.14926968355268i</v>
      </c>
      <c r="AO4" s="24">
        <f t="shared" si="6"/>
        <v>336.09300914758262</v>
      </c>
      <c r="AP4" s="24">
        <f t="shared" si="7"/>
        <v>3.1203193490126466</v>
      </c>
      <c r="AQ4" s="24">
        <f t="shared" si="8"/>
        <v>178.78112943143319</v>
      </c>
      <c r="AR4" s="24">
        <f t="shared" si="9"/>
        <v>50.529189581718946</v>
      </c>
      <c r="AS4" s="24">
        <f t="shared" ref="AS4:AS35" si="17">AR4+AJ4</f>
        <v>68.789261214577408</v>
      </c>
      <c r="AT4" s="24">
        <f t="shared" ref="AT4:AT35" si="18">AQ4+AI4</f>
        <v>178.76162797457641</v>
      </c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s="1" customFormat="1">
      <c r="A5" s="8" t="s">
        <v>4</v>
      </c>
      <c r="B5" s="4">
        <v>3.3</v>
      </c>
      <c r="C5" s="18" t="s">
        <v>100</v>
      </c>
      <c r="D5" s="47"/>
      <c r="E5" s="24"/>
      <c r="F5" s="13" t="s">
        <v>48</v>
      </c>
      <c r="G5" s="7">
        <v>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24"/>
      <c r="S5" s="24" t="s">
        <v>54</v>
      </c>
      <c r="T5" s="24"/>
      <c r="U5" s="24"/>
      <c r="V5" s="24" t="s">
        <v>55</v>
      </c>
      <c r="W5" s="24">
        <f>G12</f>
        <v>7142857.1428571427</v>
      </c>
      <c r="X5" s="24"/>
      <c r="Y5" s="24">
        <v>3</v>
      </c>
      <c r="Z5" s="24">
        <f t="shared" si="1"/>
        <v>1.2026419266820265</v>
      </c>
      <c r="AA5" s="24" t="str">
        <f t="shared" si="10"/>
        <v>7.55642208352666i</v>
      </c>
      <c r="AB5" s="24">
        <f t="shared" si="2"/>
        <v>9.4210346008907155</v>
      </c>
      <c r="AC5" s="24"/>
      <c r="AD5" s="24" t="str">
        <f t="shared" si="3"/>
        <v>0.999999870014944-0.000360005818512197i</v>
      </c>
      <c r="AE5" s="24" t="str">
        <f t="shared" si="4"/>
        <v>0.99999999999764-1.95077967129615E-06i</v>
      </c>
      <c r="AF5" s="24" t="str">
        <f t="shared" si="11"/>
        <v>8.18471478282191-0.00296251190497981i</v>
      </c>
      <c r="AG5" s="24">
        <f t="shared" si="5"/>
        <v>8.1847153189723283</v>
      </c>
      <c r="AH5" s="24">
        <f t="shared" si="12"/>
        <v>-3.6195662942611862E-4</v>
      </c>
      <c r="AI5" s="24">
        <f t="shared" si="0"/>
        <v>-2.0738587232897336E-2</v>
      </c>
      <c r="AJ5" s="24">
        <f t="shared" si="13"/>
        <v>18.260071567324406</v>
      </c>
      <c r="AK5" s="24"/>
      <c r="AL5" s="24" t="str">
        <f t="shared" si="14"/>
        <v>0.999480624651663-0.0227838889916712i</v>
      </c>
      <c r="AM5" s="24" t="str">
        <f t="shared" si="15"/>
        <v>1.00000000040746+0.00016940070567166i</v>
      </c>
      <c r="AN5" s="24" t="str">
        <f t="shared" si="16"/>
        <v>-335.99691186637+7.60234691893129i</v>
      </c>
      <c r="AO5" s="24">
        <f t="shared" si="6"/>
        <v>336.08290712622238</v>
      </c>
      <c r="AP5" s="24">
        <f t="shared" si="7"/>
        <v>3.1189702730959388</v>
      </c>
      <c r="AQ5" s="24">
        <f t="shared" si="8"/>
        <v>178.70383307516306</v>
      </c>
      <c r="AR5" s="24">
        <f t="shared" si="9"/>
        <v>50.52892850410359</v>
      </c>
      <c r="AS5" s="24">
        <f t="shared" si="17"/>
        <v>68.789000071427992</v>
      </c>
      <c r="AT5" s="24">
        <f t="shared" si="18"/>
        <v>178.68309448793016</v>
      </c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s="1" customFormat="1">
      <c r="A6" s="8" t="s">
        <v>5</v>
      </c>
      <c r="B6" s="4">
        <v>1.2</v>
      </c>
      <c r="C6" s="18" t="s">
        <v>101</v>
      </c>
      <c r="D6" s="48" t="s">
        <v>7</v>
      </c>
      <c r="E6" s="24"/>
      <c r="F6" s="13" t="s">
        <v>51</v>
      </c>
      <c r="G6" s="7">
        <v>220000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24"/>
      <c r="S6" s="24" t="s">
        <v>57</v>
      </c>
      <c r="T6" s="24">
        <f>D_</f>
        <v>0.26632258064516129</v>
      </c>
      <c r="U6" s="24"/>
      <c r="V6" s="24"/>
      <c r="W6" s="24"/>
      <c r="X6" s="24"/>
      <c r="Y6" s="24">
        <v>4</v>
      </c>
      <c r="Z6" s="24">
        <f t="shared" si="1"/>
        <v>1.278934943925458</v>
      </c>
      <c r="AA6" s="24" t="str">
        <f t="shared" si="10"/>
        <v>8.03578524851099i</v>
      </c>
      <c r="AB6" s="24">
        <f t="shared" si="2"/>
        <v>9.4210346008907155</v>
      </c>
      <c r="AC6" s="24"/>
      <c r="AD6" s="24" t="str">
        <f t="shared" si="3"/>
        <v>0.999999852999895-0.000382843806821904i</v>
      </c>
      <c r="AE6" s="24" t="str">
        <f t="shared" si="4"/>
        <v>0.999999999997332-2.07453293799844E-06i</v>
      </c>
      <c r="AF6" s="24" t="str">
        <f t="shared" si="11"/>
        <v>8.18471464280363-0.00315044723483883i</v>
      </c>
      <c r="AG6" s="24">
        <f t="shared" si="5"/>
        <v>8.1847152491361577</v>
      </c>
      <c r="AH6" s="24">
        <f t="shared" si="12"/>
        <v>-3.8491837733359345E-4</v>
      </c>
      <c r="AI6" s="24">
        <f t="shared" si="0"/>
        <v>-2.2054198478238994E-2</v>
      </c>
      <c r="AJ6" s="24">
        <f t="shared" si="13"/>
        <v>18.260071493211957</v>
      </c>
      <c r="AK6" s="24"/>
      <c r="AL6" s="24" t="str">
        <f t="shared" si="14"/>
        <v>0.999412678317619-0.0242276027625999i</v>
      </c>
      <c r="AM6" s="24" t="str">
        <f t="shared" si="15"/>
        <v>1.00000000046079+0.000180147122100321i</v>
      </c>
      <c r="AN6" s="24" t="str">
        <f t="shared" si="16"/>
        <v>-335.9742400918+8.0840738511573i</v>
      </c>
      <c r="AO6" s="24">
        <f t="shared" si="6"/>
        <v>336.07148384725156</v>
      </c>
      <c r="AP6" s="24">
        <f t="shared" si="7"/>
        <v>3.1175357072235492</v>
      </c>
      <c r="AQ6" s="24">
        <f t="shared" si="8"/>
        <v>178.62163850524163</v>
      </c>
      <c r="AR6" s="24">
        <f t="shared" si="9"/>
        <v>50.528633270324605</v>
      </c>
      <c r="AS6" s="24">
        <f t="shared" si="17"/>
        <v>68.788704763536558</v>
      </c>
      <c r="AT6" s="24">
        <f t="shared" si="18"/>
        <v>178.5995843067634</v>
      </c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s="1" customFormat="1">
      <c r="A7" s="8" t="s">
        <v>6</v>
      </c>
      <c r="B7" s="40">
        <f>2000000/1000000</f>
        <v>2</v>
      </c>
      <c r="C7" s="13" t="s">
        <v>107</v>
      </c>
      <c r="D7" s="49">
        <f>1/B7/1000000</f>
        <v>4.9999999999999998E-7</v>
      </c>
      <c r="E7" s="48" t="s">
        <v>104</v>
      </c>
      <c r="F7" s="27" t="s">
        <v>63</v>
      </c>
      <c r="G7" s="10">
        <v>291900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24"/>
      <c r="S7" s="24" t="s">
        <v>58</v>
      </c>
      <c r="T7" s="30">
        <f>G4</f>
        <v>757697.8723404255</v>
      </c>
      <c r="U7" s="24" t="s">
        <v>59</v>
      </c>
      <c r="V7" s="24" t="s">
        <v>60</v>
      </c>
      <c r="W7" s="24">
        <f>G14</f>
        <v>20928.220513129996</v>
      </c>
      <c r="X7" s="24"/>
      <c r="Y7" s="24">
        <v>5</v>
      </c>
      <c r="Z7" s="24">
        <f t="shared" si="1"/>
        <v>1.3600678260954062</v>
      </c>
      <c r="AA7" s="24" t="str">
        <f t="shared" si="10"/>
        <v>8.54555818169034i</v>
      </c>
      <c r="AB7" s="24">
        <f t="shared" si="2"/>
        <v>9.4210346008907155</v>
      </c>
      <c r="AC7" s="24"/>
      <c r="AD7" s="24" t="str">
        <f t="shared" si="3"/>
        <v>0.999999833757576-0.000407130586667204i</v>
      </c>
      <c r="AE7" s="24" t="str">
        <f t="shared" si="4"/>
        <v>0.999999999996983-2.20613684577761E-06i</v>
      </c>
      <c r="AF7" s="24" t="str">
        <f t="shared" si="11"/>
        <v>8.18471448445695-0.00335030476692711i</v>
      </c>
      <c r="AG7" s="24">
        <f t="shared" si="5"/>
        <v>8.1847151701584231</v>
      </c>
      <c r="AH7" s="24">
        <f t="shared" si="12"/>
        <v>-4.0933676870067597E-4</v>
      </c>
      <c r="AI7" s="24">
        <f t="shared" si="0"/>
        <v>-2.3453269246071509E-2</v>
      </c>
      <c r="AJ7" s="24">
        <f t="shared" si="13"/>
        <v>18.260071409398183</v>
      </c>
      <c r="AK7" s="24"/>
      <c r="AL7" s="24" t="str">
        <f t="shared" si="14"/>
        <v>0.999335848934847-0.0257625691365511i</v>
      </c>
      <c r="AM7" s="24" t="str">
        <f t="shared" si="15"/>
        <v>1.00000000052111+0.000191575268074307i</v>
      </c>
      <c r="AN7" s="24" t="str">
        <f t="shared" si="16"/>
        <v>-335.948604294508+8.59624922650554i</v>
      </c>
      <c r="AO7" s="24">
        <f t="shared" si="6"/>
        <v>336.05856666389587</v>
      </c>
      <c r="AP7" s="24">
        <f t="shared" si="7"/>
        <v>3.1160102468295809</v>
      </c>
      <c r="AQ7" s="24">
        <f t="shared" si="8"/>
        <v>178.5342360628529</v>
      </c>
      <c r="AR7" s="24">
        <f t="shared" si="9"/>
        <v>50.528299414610245</v>
      </c>
      <c r="AS7" s="24">
        <f t="shared" si="17"/>
        <v>68.788370824008425</v>
      </c>
      <c r="AT7" s="24">
        <f t="shared" si="18"/>
        <v>178.51078279360684</v>
      </c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s="1" customFormat="1">
      <c r="A8" s="8" t="s">
        <v>105</v>
      </c>
      <c r="B8" s="4">
        <v>0.1</v>
      </c>
      <c r="C8" s="18" t="s">
        <v>99</v>
      </c>
      <c r="D8" s="47"/>
      <c r="E8" s="24"/>
      <c r="F8" s="44" t="s">
        <v>61</v>
      </c>
      <c r="G8" s="43">
        <f>1+G7/G4</f>
        <v>1.3852459016393444</v>
      </c>
      <c r="H8" s="24"/>
      <c r="I8" s="24"/>
      <c r="J8" s="24"/>
      <c r="K8" s="12"/>
      <c r="L8" s="12"/>
      <c r="M8" s="12"/>
      <c r="N8" s="12"/>
      <c r="O8" s="12"/>
      <c r="P8" s="12"/>
      <c r="Q8" s="12"/>
      <c r="R8" s="24"/>
      <c r="S8" s="24" t="s">
        <v>61</v>
      </c>
      <c r="T8" s="24">
        <f>1+(T$10/T$7)</f>
        <v>1.0673091503378094</v>
      </c>
      <c r="U8" s="24"/>
      <c r="V8" s="24"/>
      <c r="W8" s="24"/>
      <c r="X8" s="24"/>
      <c r="Y8" s="24">
        <v>6</v>
      </c>
      <c r="Z8" s="24">
        <f t="shared" si="1"/>
        <v>1.4463476038134566</v>
      </c>
      <c r="AA8" s="24" t="str">
        <f t="shared" si="10"/>
        <v>9.08767001335511i</v>
      </c>
      <c r="AB8" s="24">
        <f t="shared" si="2"/>
        <v>9.4210346008907155</v>
      </c>
      <c r="AC8" s="24"/>
      <c r="AD8" s="24" t="str">
        <f t="shared" si="3"/>
        <v>0.999999811996437-0.000432958065998847i</v>
      </c>
      <c r="AE8" s="24" t="str">
        <f t="shared" si="4"/>
        <v>0.999999999996588-2.34608942241877E-06i</v>
      </c>
      <c r="AF8" s="24" t="str">
        <f t="shared" si="11"/>
        <v>8.18471430538268-0.00356284081790472i</v>
      </c>
      <c r="AG8" s="24">
        <f t="shared" si="5"/>
        <v>8.184715080842496</v>
      </c>
      <c r="AH8" s="24">
        <f t="shared" si="12"/>
        <v>-4.3530420976588057E-4</v>
      </c>
      <c r="AI8" s="24">
        <f t="shared" si="0"/>
        <v>-2.494109402386243E-2</v>
      </c>
      <c r="AJ8" s="24">
        <f t="shared" si="13"/>
        <v>18.260071314613178</v>
      </c>
      <c r="AK8" s="24"/>
      <c r="AL8" s="24" t="str">
        <f t="shared" si="14"/>
        <v>0.999248976813107-0.0273945095058533i</v>
      </c>
      <c r="AM8" s="24" t="str">
        <f t="shared" si="15"/>
        <v>1.00000000058932+0.000203728391049733i</v>
      </c>
      <c r="AN8" s="24" t="str">
        <f t="shared" si="16"/>
        <v>-335.919617518575+9.14078211370112i</v>
      </c>
      <c r="AO8" s="24">
        <f t="shared" si="6"/>
        <v>336.04396041511575</v>
      </c>
      <c r="AP8" s="24">
        <f t="shared" si="7"/>
        <v>3.1143881482847289</v>
      </c>
      <c r="AQ8" s="24">
        <f t="shared" si="8"/>
        <v>178.44129666227857</v>
      </c>
      <c r="AR8" s="24">
        <f t="shared" si="9"/>
        <v>50.527921888087619</v>
      </c>
      <c r="AS8" s="24">
        <f t="shared" si="17"/>
        <v>68.78799320270079</v>
      </c>
      <c r="AT8" s="24">
        <f t="shared" si="18"/>
        <v>178.41635556825472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s="1" customFormat="1">
      <c r="A9" s="8" t="s">
        <v>85</v>
      </c>
      <c r="B9" s="4">
        <v>30</v>
      </c>
      <c r="C9" s="19" t="s">
        <v>99</v>
      </c>
      <c r="D9" s="43"/>
      <c r="E9" s="24"/>
      <c r="F9" s="8"/>
      <c r="G9" s="44"/>
      <c r="H9" s="24"/>
      <c r="I9" s="24"/>
      <c r="J9" s="24"/>
      <c r="K9" s="12"/>
      <c r="L9" s="12"/>
      <c r="M9" s="12"/>
      <c r="N9" s="12"/>
      <c r="O9" s="12"/>
      <c r="P9" s="12"/>
      <c r="Q9" s="12"/>
      <c r="R9" s="24"/>
      <c r="S9" s="24" t="s">
        <v>62</v>
      </c>
      <c r="T9" s="24">
        <f>B23</f>
        <v>2.75</v>
      </c>
      <c r="U9" s="25" t="s">
        <v>56</v>
      </c>
      <c r="V9" s="24"/>
      <c r="W9" s="24"/>
      <c r="X9" s="24"/>
      <c r="Y9" s="24">
        <v>7</v>
      </c>
      <c r="Z9" s="24">
        <f t="shared" si="1"/>
        <v>1.5381007850634825</v>
      </c>
      <c r="AA9" s="24" t="str">
        <f t="shared" si="10"/>
        <v>9.66417225367226i</v>
      </c>
      <c r="AB9" s="24">
        <f t="shared" si="2"/>
        <v>9.4210346008907155</v>
      </c>
      <c r="AC9" s="24"/>
      <c r="AD9" s="24" t="str">
        <f t="shared" si="3"/>
        <v>0.999999787386764-0.000460423983155936i</v>
      </c>
      <c r="AE9" s="24" t="str">
        <f t="shared" si="4"/>
        <v>0.999999999996141-2.49492028951862E-06i</v>
      </c>
      <c r="AF9" s="24" t="str">
        <f t="shared" si="11"/>
        <v>8.18471410286757-0.00378885968308654i</v>
      </c>
      <c r="AG9" s="24">
        <f t="shared" si="5"/>
        <v>8.1847149798350944</v>
      </c>
      <c r="AH9" s="24">
        <f t="shared" si="12"/>
        <v>-4.6291896880256577E-4</v>
      </c>
      <c r="AI9" s="24">
        <f t="shared" si="0"/>
        <v>-2.6523303168935246E-2</v>
      </c>
      <c r="AJ9" s="24">
        <f t="shared" si="13"/>
        <v>18.26007120742079</v>
      </c>
      <c r="AK9" s="24"/>
      <c r="AL9" s="24" t="str">
        <f t="shared" si="14"/>
        <v>0.999150751322244-0.0291294945792022i</v>
      </c>
      <c r="AM9" s="24" t="str">
        <f t="shared" si="15"/>
        <v>1.00000000066647+0.00021665248200832i</v>
      </c>
      <c r="AN9" s="24" t="str">
        <f t="shared" si="16"/>
        <v>-335.886842443704+9.71969813858253i</v>
      </c>
      <c r="AO9" s="24">
        <f t="shared" si="6"/>
        <v>336.02744450224117</v>
      </c>
      <c r="AP9" s="24">
        <f t="shared" si="7"/>
        <v>3.1126633081530017</v>
      </c>
      <c r="AQ9" s="24">
        <f t="shared" si="8"/>
        <v>178.34247060239579</v>
      </c>
      <c r="AR9" s="24">
        <f t="shared" si="9"/>
        <v>50.527494982864518</v>
      </c>
      <c r="AS9" s="24">
        <f t="shared" si="17"/>
        <v>68.787566190285304</v>
      </c>
      <c r="AT9" s="24">
        <f t="shared" si="18"/>
        <v>178.31594729922685</v>
      </c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s="1" customFormat="1">
      <c r="A10" s="8" t="s">
        <v>9</v>
      </c>
      <c r="B10" s="40">
        <v>0.65</v>
      </c>
      <c r="C10" s="37" t="s">
        <v>56</v>
      </c>
      <c r="D10" s="45"/>
      <c r="E10" s="24"/>
      <c r="F10" s="26" t="s">
        <v>50</v>
      </c>
      <c r="G10" s="24">
        <f>PI()/D7</f>
        <v>6283185.307179587</v>
      </c>
      <c r="H10" s="24"/>
      <c r="I10" s="24"/>
      <c r="J10" s="24"/>
      <c r="K10" s="12"/>
      <c r="L10" s="12"/>
      <c r="M10" s="12"/>
      <c r="N10" s="12"/>
      <c r="O10" s="12"/>
      <c r="P10" s="12"/>
      <c r="Q10" s="12"/>
      <c r="R10" s="24"/>
      <c r="S10" s="24" t="s">
        <v>63</v>
      </c>
      <c r="T10" s="24">
        <v>51000</v>
      </c>
      <c r="U10" s="24" t="s">
        <v>59</v>
      </c>
      <c r="V10" s="24"/>
      <c r="W10" s="24"/>
      <c r="X10" s="24"/>
      <c r="Y10" s="24">
        <v>8</v>
      </c>
      <c r="Z10" s="24">
        <f t="shared" si="1"/>
        <v>1.6356745907936145</v>
      </c>
      <c r="AA10" s="24" t="str">
        <f t="shared" si="10"/>
        <v>10.2772465562014i</v>
      </c>
      <c r="AB10" s="24">
        <f t="shared" si="2"/>
        <v>9.4210346008907155</v>
      </c>
      <c r="AC10" s="24"/>
      <c r="AD10" s="24" t="str">
        <f t="shared" si="3"/>
        <v>0.999999759555686-0.000489632276722218i</v>
      </c>
      <c r="AE10" s="24" t="str">
        <f t="shared" si="4"/>
        <v>0.999999999995635-0.0000026531926667288i</v>
      </c>
      <c r="AF10" s="24" t="str">
        <f t="shared" si="11"/>
        <v>8.18471387384325-0.0040292166800144i</v>
      </c>
      <c r="AG10" s="24">
        <f t="shared" si="5"/>
        <v>8.1847148656058408</v>
      </c>
      <c r="AH10" s="24">
        <f t="shared" si="12"/>
        <v>-4.9228554799014596E-4</v>
      </c>
      <c r="AI10" s="24">
        <f t="shared" si="0"/>
        <v>-2.8205884215120311E-2</v>
      </c>
      <c r="AJ10" s="24">
        <f t="shared" si="13"/>
        <v>18.260071086196934</v>
      </c>
      <c r="AK10" s="24"/>
      <c r="AL10" s="24" t="str">
        <f t="shared" si="14"/>
        <v>0.999039691374383-0.030973963791561i</v>
      </c>
      <c r="AM10" s="24" t="str">
        <f t="shared" si="15"/>
        <v>1.00000000075371+0.000230396449500749i</v>
      </c>
      <c r="AN10" s="24" t="str">
        <f t="shared" si="16"/>
        <v>-335.849784872654+10.3351459606433i</v>
      </c>
      <c r="AO10" s="24">
        <f t="shared" si="6"/>
        <v>336.0087695894793</v>
      </c>
      <c r="AP10" s="24">
        <f t="shared" si="7"/>
        <v>3.1108292412870866</v>
      </c>
      <c r="AQ10" s="24">
        <f t="shared" si="8"/>
        <v>178.23738631163408</v>
      </c>
      <c r="AR10" s="24">
        <f t="shared" si="9"/>
        <v>50.527012246286063</v>
      </c>
      <c r="AS10" s="24">
        <f t="shared" si="17"/>
        <v>68.787083332482993</v>
      </c>
      <c r="AT10" s="24">
        <f t="shared" si="18"/>
        <v>178.20918042741897</v>
      </c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s="1" customFormat="1">
      <c r="A11" s="8" t="s">
        <v>10</v>
      </c>
      <c r="B11" s="40" t="s">
        <v>82</v>
      </c>
      <c r="C11" s="37" t="s">
        <v>56</v>
      </c>
      <c r="D11" s="45"/>
      <c r="E11" s="24"/>
      <c r="F11" s="26" t="s">
        <v>53</v>
      </c>
      <c r="G11" s="24">
        <f>1/(PI()*(G8*(1-B17)-0.5))</f>
        <v>0.616492956317237</v>
      </c>
      <c r="H11" s="24"/>
      <c r="I11" s="24"/>
      <c r="J11" s="24"/>
      <c r="K11" s="12"/>
      <c r="L11" s="12"/>
      <c r="M11" s="12"/>
      <c r="N11" s="12"/>
      <c r="O11" s="12"/>
      <c r="P11" s="12"/>
      <c r="Q11" s="12"/>
      <c r="R11" s="24"/>
      <c r="S11" s="24" t="s">
        <v>64</v>
      </c>
      <c r="T11" s="24">
        <v>1</v>
      </c>
      <c r="U11" s="24"/>
      <c r="V11" s="24"/>
      <c r="W11" s="24"/>
      <c r="X11" s="24"/>
      <c r="Y11" s="24">
        <v>9</v>
      </c>
      <c r="Z11" s="24">
        <f t="shared" si="1"/>
        <v>1.7394382689021479</v>
      </c>
      <c r="AA11" s="24" t="str">
        <f t="shared" si="10"/>
        <v>10.9292129739119i</v>
      </c>
      <c r="AB11" s="24">
        <f t="shared" si="2"/>
        <v>9.4210346008907155</v>
      </c>
      <c r="AC11" s="24"/>
      <c r="AD11" s="24" t="str">
        <f t="shared" si="3"/>
        <v>0.999999728081519-0.000520693478843019i</v>
      </c>
      <c r="AE11" s="24" t="str">
        <f t="shared" si="4"/>
        <v>0.999999999995065-2.82150550314438E-06i</v>
      </c>
      <c r="AF11" s="24" t="str">
        <f>IMPRODUCT(AB11,AC$2,AD11,AE11)</f>
        <v>8.18471361483966-0.00428482138508838i</v>
      </c>
      <c r="AG11" s="24">
        <f t="shared" si="5"/>
        <v>8.1847147364239881</v>
      </c>
      <c r="AH11" s="24">
        <f t="shared" si="12"/>
        <v>-5.2351507887525713E-4</v>
      </c>
      <c r="AI11" s="24">
        <f t="shared" si="0"/>
        <v>-2.9995204531010632E-2</v>
      </c>
      <c r="AJ11" s="24">
        <f t="shared" si="13"/>
        <v>18.260070949104886</v>
      </c>
      <c r="AK11" s="24"/>
      <c r="AL11" s="24" t="str">
        <f t="shared" si="14"/>
        <v>0.998914123417953-0.0329347453929123i</v>
      </c>
      <c r="AM11" s="24" t="str">
        <f t="shared" si="15"/>
        <v>1.00000000085237+0.000245012304730966i</v>
      </c>
      <c r="AN11" s="24" t="str">
        <f t="shared" si="16"/>
        <v>-335.807886388487+10.9894039760888i</v>
      </c>
      <c r="AO11" s="24">
        <f t="shared" si="6"/>
        <v>335.9876538809911</v>
      </c>
      <c r="AP11" s="24">
        <f t="shared" si="7"/>
        <v>3.1088790577197503</v>
      </c>
      <c r="AQ11" s="24">
        <f t="shared" si="8"/>
        <v>178.12564902394996</v>
      </c>
      <c r="AR11" s="24">
        <f t="shared" si="9"/>
        <v>50.526466384114144</v>
      </c>
      <c r="AS11" s="24">
        <f t="shared" si="17"/>
        <v>68.78653733321903</v>
      </c>
      <c r="AT11" s="24">
        <f t="shared" si="18"/>
        <v>178.09565381941894</v>
      </c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s="1" customFormat="1">
      <c r="A12" s="8" t="s">
        <v>88</v>
      </c>
      <c r="B12" s="4">
        <v>1</v>
      </c>
      <c r="C12" s="37" t="s">
        <v>103</v>
      </c>
      <c r="D12" s="45"/>
      <c r="E12" s="24"/>
      <c r="F12" s="26" t="s">
        <v>55</v>
      </c>
      <c r="G12" s="32">
        <f>1/(D30*B31)*1000000</f>
        <v>7142857.1428571427</v>
      </c>
      <c r="H12" s="24"/>
      <c r="I12" s="24"/>
      <c r="J12" s="24"/>
      <c r="K12" s="12"/>
      <c r="L12" s="12"/>
      <c r="M12" s="12"/>
      <c r="N12" s="12"/>
      <c r="O12" s="12"/>
      <c r="P12" s="12"/>
      <c r="Q12" s="12"/>
      <c r="R12" s="24"/>
      <c r="S12" s="24" t="s">
        <v>65</v>
      </c>
      <c r="T12" s="24">
        <v>0.68</v>
      </c>
      <c r="U12" s="25" t="s">
        <v>56</v>
      </c>
      <c r="V12" s="24"/>
      <c r="W12" s="24"/>
      <c r="X12" s="24"/>
      <c r="Y12" s="24">
        <v>10</v>
      </c>
      <c r="Z12" s="24">
        <f t="shared" si="1"/>
        <v>1.849784491579884</v>
      </c>
      <c r="AA12" s="24" t="str">
        <f t="shared" si="10"/>
        <v>11.6225387389434i</v>
      </c>
      <c r="AB12" s="24">
        <f t="shared" si="2"/>
        <v>9.4210346008907155</v>
      </c>
      <c r="AC12" s="24"/>
      <c r="AD12" s="24" t="str">
        <f t="shared" si="3"/>
        <v>0.999999692487385-0.000553725133490665i</v>
      </c>
      <c r="AE12" s="24" t="str">
        <f t="shared" si="4"/>
        <v>0.999999999994419-3.00049574390275E-06i</v>
      </c>
      <c r="AF12" s="24" t="str">
        <f t="shared" ref="AF12:AF75" si="19">IMPRODUCT(AB12,AC$2,AD12,AE12)</f>
        <v>8.18471332193249-0.00455664107550084i</v>
      </c>
      <c r="AG12" s="24">
        <f t="shared" si="5"/>
        <v>8.1847145903322147</v>
      </c>
      <c r="AH12" s="24">
        <f t="shared" si="12"/>
        <v>-5.567257429192142E-4</v>
      </c>
      <c r="AI12" s="24">
        <f t="shared" si="0"/>
        <v>-3.1898035415556254E-2</v>
      </c>
      <c r="AJ12" s="24">
        <f t="shared" si="13"/>
        <v>18.26007079406747</v>
      </c>
      <c r="AK12" s="24"/>
      <c r="AL12" s="24" t="str">
        <f t="shared" si="14"/>
        <v>0.998772156636329-0.0350190771486867i</v>
      </c>
      <c r="AM12" s="24" t="str">
        <f t="shared" si="15"/>
        <v>1.00000000096394+0.000260555358381829i</v>
      </c>
      <c r="AN12" s="24" t="str">
        <f t="shared" si="16"/>
        <v>-335.760516079044+11.6848872249918i</v>
      </c>
      <c r="AO12" s="24">
        <f t="shared" si="6"/>
        <v>335.96377892136934</v>
      </c>
      <c r="AP12" s="24">
        <f t="shared" si="7"/>
        <v>3.1068054383121626</v>
      </c>
      <c r="AQ12" s="24">
        <f t="shared" si="8"/>
        <v>178.00683938357875</v>
      </c>
      <c r="AR12" s="24">
        <f t="shared" si="9"/>
        <v>50.525849151217983</v>
      </c>
      <c r="AS12" s="24">
        <f t="shared" si="17"/>
        <v>68.785919945285457</v>
      </c>
      <c r="AT12" s="24">
        <f t="shared" si="18"/>
        <v>177.97494134816318</v>
      </c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s="1" customFormat="1">
      <c r="A13" s="8" t="s">
        <v>11</v>
      </c>
      <c r="B13" s="40">
        <v>1E-3</v>
      </c>
      <c r="C13" s="37" t="s">
        <v>104</v>
      </c>
      <c r="D13" s="45"/>
      <c r="E13" s="24"/>
      <c r="F13" s="26"/>
      <c r="G13" s="30"/>
      <c r="H13" s="24"/>
      <c r="I13" s="24"/>
      <c r="J13" s="24"/>
      <c r="K13" s="12"/>
      <c r="L13" s="12"/>
      <c r="M13" s="12"/>
      <c r="N13" s="12"/>
      <c r="O13" s="12"/>
      <c r="P13" s="12"/>
      <c r="Q13" s="12"/>
      <c r="R13" s="24"/>
      <c r="S13" s="24" t="s">
        <v>66</v>
      </c>
      <c r="T13" s="33">
        <f>D30</f>
        <v>20</v>
      </c>
      <c r="U13" s="24"/>
      <c r="V13" s="24"/>
      <c r="W13" s="24"/>
      <c r="X13" s="24"/>
      <c r="Y13" s="24">
        <v>11</v>
      </c>
      <c r="Z13" s="24">
        <f t="shared" si="1"/>
        <v>1.967130841296868</v>
      </c>
      <c r="AA13" s="24" t="str">
        <f t="shared" si="10"/>
        <v>12.3598475993363i</v>
      </c>
      <c r="AB13" s="24">
        <f t="shared" si="2"/>
        <v>9.4210346008907155</v>
      </c>
      <c r="AC13" s="24"/>
      <c r="AD13" s="24" t="str">
        <f t="shared" si="3"/>
        <v>0.99999965223398-0.00058885224126056i</v>
      </c>
      <c r="AE13" s="24" t="str">
        <f t="shared" si="4"/>
        <v>0.999999999993689-3.19084074057095E-06i</v>
      </c>
      <c r="AF13" s="24" t="str">
        <f t="shared" si="19"/>
        <v>8.18471299068379-0.00484570438949308i</v>
      </c>
      <c r="AG13" s="24">
        <f t="shared" si="5"/>
        <v>8.1847144251170434</v>
      </c>
      <c r="AH13" s="24">
        <f t="shared" si="12"/>
        <v>-5.9204321872304651E-4</v>
      </c>
      <c r="AI13" s="24">
        <f t="shared" si="0"/>
        <v>-3.3921577722171248E-2</v>
      </c>
      <c r="AJ13" s="24">
        <f t="shared" si="13"/>
        <v>18.260070618735668</v>
      </c>
      <c r="AK13" s="24"/>
      <c r="AL13" s="24" t="str">
        <f t="shared" si="14"/>
        <v>0.998611655008749-0.0372346275587139i</v>
      </c>
      <c r="AM13" s="24" t="str">
        <f t="shared" si="15"/>
        <v>1.00000000109012+0.000277084429926955i</v>
      </c>
      <c r="AN13" s="24" t="str">
        <f t="shared" si="16"/>
        <v>-335.706961214466+12.4241544714657i</v>
      </c>
      <c r="AO13" s="24">
        <f t="shared" si="6"/>
        <v>335.93678486016057</v>
      </c>
      <c r="AP13" s="24">
        <f t="shared" si="7"/>
        <v>3.1046006091249918</v>
      </c>
      <c r="AQ13" s="24">
        <f t="shared" si="8"/>
        <v>177.88051197660661</v>
      </c>
      <c r="AR13" s="24">
        <f t="shared" si="9"/>
        <v>50.525151228193927</v>
      </c>
      <c r="AS13" s="24">
        <f t="shared" si="17"/>
        <v>68.785221846929602</v>
      </c>
      <c r="AT13" s="24">
        <f t="shared" si="18"/>
        <v>177.84659039888444</v>
      </c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s="1" customFormat="1">
      <c r="A14" s="8"/>
      <c r="B14" s="12"/>
      <c r="C14" s="20"/>
      <c r="D14" s="45"/>
      <c r="E14" s="24"/>
      <c r="F14" s="26" t="s">
        <v>60</v>
      </c>
      <c r="G14" s="32">
        <f>(1/(B23*D30*1000000)+(G8*(1-B17)-0.5)/(D24/1000000*D30*1000000*B7)/1000000)*10^12</f>
        <v>20928.220513129996</v>
      </c>
      <c r="H14" s="24"/>
      <c r="I14" s="24"/>
      <c r="J14" s="24"/>
      <c r="K14" s="12"/>
      <c r="L14" s="12"/>
      <c r="M14" s="12"/>
      <c r="N14" s="12"/>
      <c r="O14" s="12"/>
      <c r="P14" s="12"/>
      <c r="Q14" s="12"/>
      <c r="R14" s="24"/>
      <c r="S14" s="24" t="s">
        <v>67</v>
      </c>
      <c r="T14" s="24">
        <f>B31</f>
        <v>7.0000000000000001E-3</v>
      </c>
      <c r="U14" s="24"/>
      <c r="V14" s="24"/>
      <c r="W14" s="24"/>
      <c r="X14" s="24"/>
      <c r="Y14" s="24">
        <v>12</v>
      </c>
      <c r="Z14" s="24">
        <f t="shared" si="1"/>
        <v>2.0919213910569279</v>
      </c>
      <c r="AA14" s="24" t="str">
        <f t="shared" si="10"/>
        <v>13.1439297480636i</v>
      </c>
      <c r="AB14" s="24">
        <f t="shared" si="2"/>
        <v>9.4210346008907155</v>
      </c>
      <c r="AC14" s="24"/>
      <c r="AD14" s="24" t="str">
        <f t="shared" si="3"/>
        <v>0.999999606711405-0.000626207732380262i</v>
      </c>
      <c r="AE14" s="24" t="str">
        <f t="shared" si="4"/>
        <v>0.999999999992862-0.0000033932608144426i</v>
      </c>
      <c r="AF14" s="24" t="str">
        <f t="shared" si="19"/>
        <v>8.18471261607463-0.00515310521877854i</v>
      </c>
      <c r="AG14" s="24">
        <f t="shared" si="5"/>
        <v>8.1847142382751894</v>
      </c>
      <c r="AH14" s="24">
        <f t="shared" si="12"/>
        <v>-6.2960115762220395E-4</v>
      </c>
      <c r="AI14" s="24">
        <f t="shared" si="0"/>
        <v>-3.6073489108303186E-2</v>
      </c>
      <c r="AJ14" s="24">
        <f t="shared" si="13"/>
        <v>18.260070420452912</v>
      </c>
      <c r="AK14" s="24"/>
      <c r="AL14" s="24" t="str">
        <f t="shared" si="14"/>
        <v>0.998430205852851-0.0395895174697169i</v>
      </c>
      <c r="AM14" s="24" t="str">
        <f t="shared" si="15"/>
        <v>1.00000000123282+0.000294662070220861i</v>
      </c>
      <c r="AN14" s="24" t="str">
        <f t="shared" si="16"/>
        <v>-335.646416750724+13.2099154151514i</v>
      </c>
      <c r="AO14" s="24">
        <f t="shared" si="6"/>
        <v>335.9062651140585</v>
      </c>
      <c r="AP14" s="24">
        <f t="shared" si="7"/>
        <v>3.102256314484829</v>
      </c>
      <c r="AQ14" s="24">
        <f t="shared" si="8"/>
        <v>177.74619378779013</v>
      </c>
      <c r="AR14" s="24">
        <f t="shared" si="9"/>
        <v>50.524362082137813</v>
      </c>
      <c r="AS14" s="24">
        <f t="shared" si="17"/>
        <v>68.784432502590732</v>
      </c>
      <c r="AT14" s="24">
        <f t="shared" si="18"/>
        <v>177.71012029868183</v>
      </c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" customFormat="1">
      <c r="A15" s="8"/>
      <c r="B15" s="38" t="s">
        <v>106</v>
      </c>
      <c r="C15" s="20"/>
      <c r="D15" s="46" t="s">
        <v>92</v>
      </c>
      <c r="E15" s="24"/>
      <c r="F15" s="44" t="s">
        <v>71</v>
      </c>
      <c r="G15" s="44">
        <v>1000000</v>
      </c>
      <c r="H15" s="24"/>
      <c r="I15" s="24"/>
      <c r="J15" s="24"/>
      <c r="K15" s="12"/>
      <c r="L15" s="12"/>
      <c r="M15" s="12"/>
      <c r="N15" s="12"/>
      <c r="O15" s="12"/>
      <c r="P15" s="12"/>
      <c r="Q15" s="12"/>
      <c r="R15" s="24"/>
      <c r="S15" s="34" t="s">
        <v>68</v>
      </c>
      <c r="T15" s="24"/>
      <c r="U15" s="24"/>
      <c r="V15" s="24"/>
      <c r="W15" s="24"/>
      <c r="X15" s="24"/>
      <c r="Y15" s="24">
        <v>13</v>
      </c>
      <c r="Z15" s="24">
        <f t="shared" si="1"/>
        <v>2.2246283849001642</v>
      </c>
      <c r="AA15" s="24" t="str">
        <f t="shared" si="10"/>
        <v>13.9777523819394i</v>
      </c>
      <c r="AB15" s="24">
        <f t="shared" si="2"/>
        <v>9.4210346008907155</v>
      </c>
      <c r="AC15" s="24"/>
      <c r="AD15" s="24" t="str">
        <f t="shared" si="3"/>
        <v>0.999999555229928-0.000665932969720572i</v>
      </c>
      <c r="AE15" s="24" t="str">
        <f t="shared" si="4"/>
        <v>0.999999999991928-3.60852198244495E-06i</v>
      </c>
      <c r="AF15" s="24" t="str">
        <f t="shared" si="19"/>
        <v>8.18471219242917-0.00548000684785466i</v>
      </c>
      <c r="AG15" s="24">
        <f t="shared" si="5"/>
        <v>8.1847140269757599</v>
      </c>
      <c r="AH15" s="24">
        <f t="shared" si="12"/>
        <v>-6.695416894504085E-4</v>
      </c>
      <c r="AI15" s="24">
        <f t="shared" si="0"/>
        <v>-3.8361913013567242E-2</v>
      </c>
      <c r="AJ15" s="24">
        <f t="shared" si="13"/>
        <v>18.260070196214961</v>
      </c>
      <c r="AK15" s="24"/>
      <c r="AL15" s="24" t="str">
        <f t="shared" si="14"/>
        <v>0.9982250844266-0.0420923419175863i</v>
      </c>
      <c r="AM15" s="24" t="str">
        <f t="shared" si="15"/>
        <v>1.0000000013942+0.000313354798209734i</v>
      </c>
      <c r="AN15" s="24" t="str">
        <f t="shared" si="16"/>
        <v>-335.577973518277+14.0450379793765i</v>
      </c>
      <c r="AO15" s="24">
        <f t="shared" si="6"/>
        <v>335.87176035278037</v>
      </c>
      <c r="AP15" s="24">
        <f t="shared" si="7"/>
        <v>3.0997637887273952</v>
      </c>
      <c r="AQ15" s="24">
        <f t="shared" si="8"/>
        <v>177.60338258156153</v>
      </c>
      <c r="AR15" s="24">
        <f t="shared" si="9"/>
        <v>50.52346980957946</v>
      </c>
      <c r="AS15" s="24">
        <f t="shared" si="17"/>
        <v>68.783540005794421</v>
      </c>
      <c r="AT15" s="24">
        <f t="shared" si="18"/>
        <v>177.56502066854796</v>
      </c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</row>
    <row r="16" spans="1:71" s="1" customFormat="1">
      <c r="A16" s="9" t="s">
        <v>84</v>
      </c>
      <c r="B16" s="12"/>
      <c r="C16" s="12"/>
      <c r="D16" s="13"/>
      <c r="E16" s="12"/>
      <c r="F16" s="31" t="s">
        <v>75</v>
      </c>
      <c r="G16" s="19">
        <f>1/D46/G18</f>
        <v>43982.297150257109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24"/>
      <c r="S16" s="24" t="s">
        <v>69</v>
      </c>
      <c r="T16" s="24">
        <f>1*10^-13</f>
        <v>1E-13</v>
      </c>
      <c r="U16" s="24" t="s">
        <v>70</v>
      </c>
      <c r="V16" s="24"/>
      <c r="W16" s="24"/>
      <c r="X16" s="24"/>
      <c r="Y16" s="24">
        <v>14</v>
      </c>
      <c r="Z16" s="24">
        <f t="shared" si="1"/>
        <v>2.365754025012901</v>
      </c>
      <c r="AA16" s="24" t="str">
        <f t="shared" si="10"/>
        <v>14.864470930362i</v>
      </c>
      <c r="AB16" s="24">
        <f t="shared" si="2"/>
        <v>9.4210346008907155</v>
      </c>
      <c r="AC16" s="24"/>
      <c r="AD16" s="24" t="str">
        <f t="shared" si="3"/>
        <v>0.999999497009528-0.000708178283710961i</v>
      </c>
      <c r="AE16" s="24" t="str">
        <f t="shared" si="4"/>
        <v>0.999999999990871-3.83743885597156E-06i</v>
      </c>
      <c r="AF16" s="24" t="str">
        <f t="shared" si="19"/>
        <v>8.18471171332852-0.00582764635585759i</v>
      </c>
      <c r="AG16" s="24">
        <f t="shared" si="5"/>
        <v>8.1847137880172145</v>
      </c>
      <c r="AH16" s="24">
        <f t="shared" si="12"/>
        <v>-7.1201596038622062E-4</v>
      </c>
      <c r="AI16" s="24">
        <f t="shared" si="0"/>
        <v>-4.079550947608445E-2</v>
      </c>
      <c r="AJ16" s="24">
        <f t="shared" si="13"/>
        <v>18.260069942624231</v>
      </c>
      <c r="AK16" s="24"/>
      <c r="AL16" s="24" t="str">
        <f t="shared" si="14"/>
        <v>0.997993214122661-0.0447521919885681i</v>
      </c>
      <c r="AM16" s="24" t="str">
        <f t="shared" si="15"/>
        <v>1.0000000015767+0.000333233352658642i</v>
      </c>
      <c r="AN16" s="24" t="str">
        <f t="shared" si="16"/>
        <v>-335.500604940062+14.9325556056257i</v>
      </c>
      <c r="AO16" s="24">
        <f t="shared" si="6"/>
        <v>335.83275172630596</v>
      </c>
      <c r="AP16" s="24">
        <f t="shared" si="7"/>
        <v>3.0971137266105178</v>
      </c>
      <c r="AQ16" s="24">
        <f t="shared" si="8"/>
        <v>177.45154520681695</v>
      </c>
      <c r="AR16" s="24">
        <f t="shared" si="9"/>
        <v>50.522460959352095</v>
      </c>
      <c r="AS16" s="24">
        <f t="shared" si="17"/>
        <v>68.78253090197633</v>
      </c>
      <c r="AT16" s="24">
        <f t="shared" si="18"/>
        <v>177.41074969734086</v>
      </c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</row>
    <row r="17" spans="1:71" s="1" customFormat="1">
      <c r="A17" s="8" t="s">
        <v>12</v>
      </c>
      <c r="B17" s="14">
        <f>(B5+B6*B25+B10*B6)/(B4)</f>
        <v>0.26632258064516129</v>
      </c>
      <c r="C17" s="21"/>
      <c r="D17" s="13"/>
      <c r="E17" s="12"/>
      <c r="F17" s="8" t="s">
        <v>77</v>
      </c>
      <c r="G17" s="19">
        <f>1/B42/G18</f>
        <v>331.48412314226601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24"/>
      <c r="S17" s="24" t="s">
        <v>71</v>
      </c>
      <c r="T17" s="24">
        <f>B42</f>
        <v>1400000</v>
      </c>
      <c r="U17" s="25" t="s">
        <v>56</v>
      </c>
      <c r="V17" s="24"/>
      <c r="W17" s="24"/>
      <c r="X17" s="24"/>
      <c r="Y17" s="24">
        <v>15</v>
      </c>
      <c r="Z17" s="24">
        <f t="shared" si="1"/>
        <v>2.5158323722080485</v>
      </c>
      <c r="AA17" s="24" t="str">
        <f t="shared" si="10"/>
        <v>15.8074409963844i</v>
      </c>
      <c r="AB17" s="24">
        <f t="shared" si="2"/>
        <v>9.4210346008907155</v>
      </c>
      <c r="AC17" s="24"/>
      <c r="AD17" s="24" t="str">
        <f t="shared" si="3"/>
        <v>0.999999431168083-0.000753103541182123i</v>
      </c>
      <c r="AE17" s="24" t="str">
        <f t="shared" si="4"/>
        <v>0.999999999989676-4.08087772361084E-06i</v>
      </c>
      <c r="AF17" s="24" t="str">
        <f t="shared" si="19"/>
        <v>8.18471117151365-0.00619733929760555i</v>
      </c>
      <c r="AG17" s="24">
        <f t="shared" si="5"/>
        <v>8.1847135177790253</v>
      </c>
      <c r="AH17" s="24">
        <f t="shared" si="12"/>
        <v>-7.5718470491715735E-4</v>
      </c>
      <c r="AI17" s="24">
        <f t="shared" si="0"/>
        <v>-4.3383487903611746E-2</v>
      </c>
      <c r="AJ17" s="24">
        <f t="shared" si="13"/>
        <v>18.2600696558385</v>
      </c>
      <c r="AK17" s="24"/>
      <c r="AL17" s="24" t="str">
        <f t="shared" si="14"/>
        <v>0.997731121740469-0.0475786764315106i</v>
      </c>
      <c r="AM17" s="24" t="str">
        <f t="shared" si="15"/>
        <v>1.00000000178309+0.000354372959847762i</v>
      </c>
      <c r="AN17" s="24" t="str">
        <f t="shared" si="16"/>
        <v>-335.413152107049+15.8756744649478i</v>
      </c>
      <c r="AO17" s="24">
        <f t="shared" si="6"/>
        <v>335.7886532420406</v>
      </c>
      <c r="AP17" s="24">
        <f t="shared" si="7"/>
        <v>3.0942962524045754</v>
      </c>
      <c r="AQ17" s="24">
        <f t="shared" si="8"/>
        <v>177.29011582592949</v>
      </c>
      <c r="AR17" s="24">
        <f t="shared" si="9"/>
        <v>50.521320332906143</v>
      </c>
      <c r="AS17" s="24">
        <f t="shared" si="17"/>
        <v>68.78138998874465</v>
      </c>
      <c r="AT17" s="24">
        <f t="shared" si="18"/>
        <v>177.24673233802588</v>
      </c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</row>
    <row r="18" spans="1:71" s="1" customFormat="1">
      <c r="A18" s="8" t="s">
        <v>13</v>
      </c>
      <c r="B18" s="14">
        <f>B8/100*B4</f>
        <v>1.55E-2</v>
      </c>
      <c r="C18" s="19" t="s">
        <v>100</v>
      </c>
      <c r="D18" s="13"/>
      <c r="E18" s="12"/>
      <c r="F18" s="31" t="s">
        <v>94</v>
      </c>
      <c r="G18" s="29">
        <f>D47/1000000000000</f>
        <v>2.1548112395692565E-9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4" t="s">
        <v>72</v>
      </c>
      <c r="T18" s="24">
        <v>0</v>
      </c>
      <c r="U18" s="25" t="s">
        <v>56</v>
      </c>
      <c r="V18" s="24"/>
      <c r="W18" s="24"/>
      <c r="X18" s="24"/>
      <c r="Y18" s="24">
        <v>16</v>
      </c>
      <c r="Z18" s="24">
        <f t="shared" si="1"/>
        <v>2.6754313669678584</v>
      </c>
      <c r="AA18" s="24" t="str">
        <f t="shared" si="10"/>
        <v>16.8102310552998i</v>
      </c>
      <c r="AB18" s="24">
        <f t="shared" si="2"/>
        <v>9.4210346008907155</v>
      </c>
      <c r="AC18" s="24"/>
      <c r="AD18" s="24" t="str">
        <f t="shared" si="3"/>
        <v>0.999999356708-0.000800878750286524i</v>
      </c>
      <c r="AE18" s="24" t="str">
        <f t="shared" si="4"/>
        <v>0.999999999988324-4.33975982943597E-06i</v>
      </c>
      <c r="AF18" s="24" t="str">
        <f t="shared" si="19"/>
        <v>8.18471055877527-0.00659048468153038i</v>
      </c>
      <c r="AG18" s="24">
        <f t="shared" si="5"/>
        <v>8.1847132121666757</v>
      </c>
      <c r="AH18" s="24">
        <f t="shared" si="12"/>
        <v>-8.0521885408525826E-4</v>
      </c>
      <c r="AI18" s="24">
        <f t="shared" si="0"/>
        <v>-4.6135641923445769E-2</v>
      </c>
      <c r="AJ18" s="24">
        <f t="shared" si="13"/>
        <v>18.260069331512526</v>
      </c>
      <c r="AK18" s="24"/>
      <c r="AL18" s="24" t="str">
        <f t="shared" si="14"/>
        <v>0.997434887270938-0.0505819426846132i</v>
      </c>
      <c r="AM18" s="24" t="str">
        <f t="shared" si="15"/>
        <v>1.00000000201649+0.000376853618250681i</v>
      </c>
      <c r="AN18" s="24" t="str">
        <f t="shared" si="16"/>
        <v>-335.314307022807+16.877780473998i</v>
      </c>
      <c r="AO18" s="24">
        <f t="shared" si="6"/>
        <v>335.7388031906853</v>
      </c>
      <c r="AP18" s="24">
        <f t="shared" si="7"/>
        <v>3.0913008876867147</v>
      </c>
      <c r="AQ18" s="24">
        <f t="shared" si="8"/>
        <v>177.11849406949366</v>
      </c>
      <c r="AR18" s="24">
        <f t="shared" si="9"/>
        <v>50.52003075928954</v>
      </c>
      <c r="AS18" s="24">
        <f t="shared" si="17"/>
        <v>68.780100090802065</v>
      </c>
      <c r="AT18" s="24">
        <f t="shared" si="18"/>
        <v>177.07235842757021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</row>
    <row r="19" spans="1:71" s="1" customFormat="1">
      <c r="A19" s="8" t="s">
        <v>14</v>
      </c>
      <c r="B19" s="14">
        <f>(B6*(1-B17)*B17)/(B7*B18)/1000000*1000000</f>
        <v>7.5636721425934015</v>
      </c>
      <c r="C19" s="19" t="s">
        <v>108</v>
      </c>
      <c r="D19" s="6">
        <v>330</v>
      </c>
      <c r="E19" s="13" t="s">
        <v>108</v>
      </c>
      <c r="F19" s="35" t="s">
        <v>95</v>
      </c>
      <c r="G19" s="19">
        <f>D48/1000000000000</f>
        <v>3.0167357353969593E-11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4" t="s">
        <v>73</v>
      </c>
      <c r="T19" s="24">
        <f>B13</f>
        <v>1E-3</v>
      </c>
      <c r="U19" s="24"/>
      <c r="V19" s="24"/>
      <c r="W19" s="24"/>
      <c r="X19" s="24"/>
      <c r="Y19" s="24">
        <v>17</v>
      </c>
      <c r="Z19" s="24">
        <f t="shared" si="1"/>
        <v>2.8451549786972743</v>
      </c>
      <c r="AA19" s="24" t="str">
        <f t="shared" si="10"/>
        <v>17.8766359587996i</v>
      </c>
      <c r="AB19" s="24">
        <f t="shared" si="2"/>
        <v>9.4210346008907155</v>
      </c>
      <c r="AC19" s="24"/>
      <c r="AD19" s="24" t="str">
        <f t="shared" si="3"/>
        <v>0.9999992725011-0.000851684703784106i</v>
      </c>
      <c r="AE19" s="24" t="str">
        <f t="shared" si="4"/>
        <v>0.999999999986796-4.61506485926284E-06i</v>
      </c>
      <c r="AF19" s="24" t="str">
        <f t="shared" si="19"/>
        <v>8.18470986582951-0.00700857026331852i</v>
      </c>
      <c r="AG19" s="24">
        <f t="shared" si="5"/>
        <v>8.18471286654969</v>
      </c>
      <c r="AH19" s="24">
        <f t="shared" si="12"/>
        <v>-8.5630018231522742E-4</v>
      </c>
      <c r="AI19" s="24">
        <f t="shared" si="0"/>
        <v>-4.9062386442945465E-2</v>
      </c>
      <c r="AJ19" s="24">
        <f t="shared" si="13"/>
        <v>18.260068964732287</v>
      </c>
      <c r="AK19" s="24"/>
      <c r="AL19" s="24" t="str">
        <f t="shared" si="14"/>
        <v>0.997100087576296-0.0537726968975784i</v>
      </c>
      <c r="AM19" s="24" t="str">
        <f t="shared" si="15"/>
        <v>1.00000000228045+0.000400760401272098i</v>
      </c>
      <c r="AN19" s="24" t="str">
        <f t="shared" si="16"/>
        <v>-335.202593811063+17.9424459758762i</v>
      </c>
      <c r="AO19" s="24">
        <f t="shared" si="6"/>
        <v>335.68245450911149</v>
      </c>
      <c r="AP19" s="24">
        <f t="shared" si="7"/>
        <v>3.0881165178883347</v>
      </c>
      <c r="AQ19" s="24">
        <f t="shared" si="8"/>
        <v>176.93604311963756</v>
      </c>
      <c r="AR19" s="24">
        <f t="shared" si="9"/>
        <v>50.518572841700731</v>
      </c>
      <c r="AS19" s="24">
        <f t="shared" si="17"/>
        <v>68.778641806433015</v>
      </c>
      <c r="AT19" s="24">
        <f t="shared" si="18"/>
        <v>176.8869807331946</v>
      </c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</row>
    <row r="20" spans="1:71" s="1" customFormat="1">
      <c r="A20" s="8" t="s">
        <v>15</v>
      </c>
      <c r="B20" s="14">
        <f>B6*SQRT(B17*(1-B17))</f>
        <v>0.53044189474859027</v>
      </c>
      <c r="C20" s="19" t="s">
        <v>101</v>
      </c>
      <c r="D20" s="13"/>
      <c r="E20" s="12"/>
      <c r="F20" s="35" t="s">
        <v>76</v>
      </c>
      <c r="G20" s="19">
        <f>1/D46/D48*1000000000000</f>
        <v>3141592.6535897935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4" t="s">
        <v>74</v>
      </c>
      <c r="T20" s="24">
        <v>0</v>
      </c>
      <c r="U20" s="24"/>
      <c r="V20" s="24"/>
      <c r="W20" s="24"/>
      <c r="X20" s="24"/>
      <c r="Y20" s="24">
        <v>18</v>
      </c>
      <c r="Z20" s="24">
        <f t="shared" si="1"/>
        <v>3.0256454913213009</v>
      </c>
      <c r="AA20" s="24" t="str">
        <f t="shared" si="10"/>
        <v>19.0106912958042i</v>
      </c>
      <c r="AB20" s="24">
        <f t="shared" si="2"/>
        <v>9.4210346008907155</v>
      </c>
      <c r="AC20" s="24"/>
      <c r="AD20" s="24" t="str">
        <f t="shared" si="3"/>
        <v>0.99999917727153-0.000905713663124814i</v>
      </c>
      <c r="AE20" s="24" t="str">
        <f t="shared" si="4"/>
        <v>0.999999999985068-4.90783464806836E-06i</v>
      </c>
      <c r="AF20" s="24" t="str">
        <f t="shared" si="19"/>
        <v>8.18470908217725-0.00745317817527177i</v>
      </c>
      <c r="AG20" s="24">
        <f t="shared" si="5"/>
        <v>8.1847124756914749</v>
      </c>
      <c r="AH20" s="24">
        <f t="shared" si="12"/>
        <v>-9.1062199527194648E-4</v>
      </c>
      <c r="AI20" s="24">
        <f t="shared" si="0"/>
        <v>-5.2174797060864538E-2</v>
      </c>
      <c r="AJ20" s="24">
        <f t="shared" si="13"/>
        <v>18.260068549940538</v>
      </c>
      <c r="AK20" s="24"/>
      <c r="AL20" s="24" t="str">
        <f t="shared" si="14"/>
        <v>0.99672173329413-0.0571622224312124i</v>
      </c>
      <c r="AM20" s="24" t="str">
        <f t="shared" si="15"/>
        <v>1.00000000257896+0.000426183779190509i</v>
      </c>
      <c r="AN20" s="24" t="str">
        <f t="shared" si="16"/>
        <v>-335.076347662353+19.073435912933i</v>
      </c>
      <c r="AO20" s="24">
        <f t="shared" si="6"/>
        <v>335.61876395736101</v>
      </c>
      <c r="AP20" s="24">
        <f t="shared" si="7"/>
        <v>3.0847313576741673</v>
      </c>
      <c r="AQ20" s="24">
        <f t="shared" si="8"/>
        <v>176.74208772639017</v>
      </c>
      <c r="AR20" s="24">
        <f t="shared" si="9"/>
        <v>50.51692467217584</v>
      </c>
      <c r="AS20" s="24">
        <f t="shared" si="17"/>
        <v>68.776993222116374</v>
      </c>
      <c r="AT20" s="24">
        <f t="shared" si="18"/>
        <v>176.6899129293293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</row>
    <row r="21" spans="1:71" s="1" customFormat="1" ht="18.75" customHeight="1">
      <c r="A21" s="8"/>
      <c r="B21" s="12"/>
      <c r="C21" s="19"/>
      <c r="D21" s="13"/>
      <c r="E21" s="12"/>
      <c r="F21" s="29"/>
      <c r="G21" s="3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4" t="s">
        <v>75</v>
      </c>
      <c r="T21" s="24">
        <f>G16</f>
        <v>43982.297150257109</v>
      </c>
      <c r="U21" s="24"/>
      <c r="V21" s="24"/>
      <c r="W21" s="24"/>
      <c r="X21" s="24"/>
      <c r="Y21" s="24">
        <v>19</v>
      </c>
      <c r="Z21" s="24">
        <f t="shared" si="1"/>
        <v>3.2175859338757533</v>
      </c>
      <c r="AA21" s="24" t="str">
        <f t="shared" si="10"/>
        <v>20.2166886643158i</v>
      </c>
      <c r="AB21" s="24">
        <f t="shared" si="2"/>
        <v>9.4210346008907155</v>
      </c>
      <c r="AC21" s="24"/>
      <c r="AD21" s="24" t="str">
        <f t="shared" si="3"/>
        <v>0.999999069576424-0.0009631700859138i</v>
      </c>
      <c r="AE21" s="24" t="str">
        <f t="shared" si="4"/>
        <v>0.999999999983113-5.21917712259961E-06i</v>
      </c>
      <c r="AF21" s="24" t="str">
        <f t="shared" si="19"/>
        <v>8.18470819594503-0.00792599091266701i</v>
      </c>
      <c r="AG21" s="24">
        <f t="shared" si="5"/>
        <v>8.1847120336699497</v>
      </c>
      <c r="AH21" s="24">
        <f t="shared" si="12"/>
        <v>-9.6838986134955576E-4</v>
      </c>
      <c r="AI21" s="24">
        <f t="shared" si="0"/>
        <v>-5.5484651978588505E-2</v>
      </c>
      <c r="AJ21" s="24">
        <f t="shared" si="13"/>
        <v>18.260068080852548</v>
      </c>
      <c r="AK21" s="24"/>
      <c r="AL21" s="24" t="str">
        <f t="shared" si="14"/>
        <v>0.996294198241532-0.0607623961985919i</v>
      </c>
      <c r="AM21" s="24" t="str">
        <f t="shared" si="15"/>
        <v>1.00000000291655+0.000453219961524301i</v>
      </c>
      <c r="AN21" s="24" t="str">
        <f t="shared" si="16"/>
        <v>-334.933691278184+20.2747132793683i</v>
      </c>
      <c r="AO21" s="24">
        <f t="shared" si="6"/>
        <v>335.54677997529717</v>
      </c>
      <c r="AP21" s="24">
        <f t="shared" si="7"/>
        <v>3.0811329152667102</v>
      </c>
      <c r="AQ21" s="24">
        <f t="shared" si="8"/>
        <v>176.53591216362199</v>
      </c>
      <c r="AR21" s="24">
        <f t="shared" si="9"/>
        <v>50.515061510599786</v>
      </c>
      <c r="AS21" s="24">
        <f t="shared" si="17"/>
        <v>68.775129591452327</v>
      </c>
      <c r="AT21" s="24">
        <f t="shared" si="18"/>
        <v>176.4804275116434</v>
      </c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</row>
    <row r="22" spans="1:71" s="1" customFormat="1">
      <c r="A22" s="9" t="s">
        <v>86</v>
      </c>
      <c r="B22" s="12"/>
      <c r="C22" s="12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4" t="s">
        <v>76</v>
      </c>
      <c r="T22" s="24">
        <f>G20</f>
        <v>3141592.6535897935</v>
      </c>
      <c r="U22" s="24"/>
      <c r="V22" s="24"/>
      <c r="W22" s="24"/>
      <c r="X22" s="24"/>
      <c r="Y22" s="24">
        <v>20</v>
      </c>
      <c r="Z22" s="24">
        <f t="shared" si="1"/>
        <v>3.42170266528945</v>
      </c>
      <c r="AA22" s="24" t="str">
        <f t="shared" si="10"/>
        <v>21.4991919120839i</v>
      </c>
      <c r="AB22" s="24">
        <f t="shared" si="2"/>
        <v>9.4210346008907155</v>
      </c>
      <c r="AC22" s="24"/>
      <c r="AD22" s="24" t="str">
        <f t="shared" si="3"/>
        <v>0.999998947784052-0.00102427139950843i</v>
      </c>
      <c r="AE22" s="24" t="str">
        <f t="shared" si="4"/>
        <v>0.999999999980902-5.55027049409372E-06i</v>
      </c>
      <c r="AF22" s="24" t="str">
        <f t="shared" si="19"/>
        <v>8.18470719370521-0.0084287976997376i</v>
      </c>
      <c r="AG22" s="24">
        <f t="shared" si="5"/>
        <v>8.1847115337878886</v>
      </c>
      <c r="AH22" s="24">
        <f t="shared" si="12"/>
        <v>-1.029822389558903E-3</v>
      </c>
      <c r="AI22" s="24">
        <f t="shared" si="0"/>
        <v>-5.9004476569802476E-2</v>
      </c>
      <c r="AJ22" s="24">
        <f t="shared" si="13"/>
        <v>18.260067550361004</v>
      </c>
      <c r="AK22" s="24"/>
      <c r="AL22" s="24" t="str">
        <f t="shared" si="14"/>
        <v>0.995811140544371-0.0645857020716682i</v>
      </c>
      <c r="AM22" s="24" t="str">
        <f t="shared" si="15"/>
        <v>1.00000000329832+0.00048197126111677i</v>
      </c>
      <c r="AN22" s="24" t="str">
        <f t="shared" si="16"/>
        <v>-334.77250855409+21.5504435946492i</v>
      </c>
      <c r="AO22" s="24">
        <f t="shared" si="6"/>
        <v>335.46542907239257</v>
      </c>
      <c r="AP22" s="24">
        <f t="shared" si="7"/>
        <v>3.0773079558731493</v>
      </c>
      <c r="AQ22" s="24">
        <f t="shared" si="8"/>
        <v>176.31675813356205</v>
      </c>
      <c r="AR22" s="24">
        <f t="shared" si="9"/>
        <v>50.512955423829609</v>
      </c>
      <c r="AS22" s="24">
        <f t="shared" si="17"/>
        <v>68.77302297419061</v>
      </c>
      <c r="AT22" s="24">
        <f t="shared" si="18"/>
        <v>176.25775365699224</v>
      </c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</row>
    <row r="23" spans="1:71" s="1" customFormat="1">
      <c r="A23" s="8" t="s">
        <v>97</v>
      </c>
      <c r="B23" s="14">
        <f>B5/B6</f>
        <v>2.75</v>
      </c>
      <c r="C23" s="37" t="s">
        <v>56</v>
      </c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4" t="s">
        <v>77</v>
      </c>
      <c r="T23" s="24">
        <f>G17</f>
        <v>331.48412314226601</v>
      </c>
      <c r="U23" s="24"/>
      <c r="V23" s="24"/>
      <c r="W23" s="24"/>
      <c r="X23" s="24"/>
      <c r="Y23" s="24">
        <v>21</v>
      </c>
      <c r="Z23" s="24">
        <f t="shared" si="1"/>
        <v>3.6387681231394358</v>
      </c>
      <c r="AA23" s="24" t="str">
        <f t="shared" si="10"/>
        <v>22.8630544075431i</v>
      </c>
      <c r="AB23" s="24">
        <f t="shared" si="2"/>
        <v>9.4210346008907155</v>
      </c>
      <c r="AC23" s="24"/>
      <c r="AD23" s="24" t="str">
        <f t="shared" si="3"/>
        <v>0.999998810049086-0.00108924882367015i</v>
      </c>
      <c r="AE23" s="24" t="str">
        <f t="shared" si="4"/>
        <v>0.999999999978403-5.90236771697449E-06i</v>
      </c>
      <c r="AF23" s="24" t="str">
        <f t="shared" si="19"/>
        <v>8.18470606027242-0.00896350125933048i</v>
      </c>
      <c r="AG23" s="24">
        <f t="shared" si="5"/>
        <v>8.1847109684713306</v>
      </c>
      <c r="AH23" s="24">
        <f t="shared" si="12"/>
        <v>-1.0951520567556528E-3</v>
      </c>
      <c r="AI23" s="24">
        <f t="shared" si="0"/>
        <v>-6.27475907771705E-2</v>
      </c>
      <c r="AJ23" s="24">
        <f t="shared" si="13"/>
        <v>18.260066950428143</v>
      </c>
      <c r="AK23" s="24"/>
      <c r="AL23" s="24" t="str">
        <f t="shared" si="14"/>
        <v>0.995265414670662-0.0686452404110933i</v>
      </c>
      <c r="AM23" s="24" t="str">
        <f t="shared" si="15"/>
        <v>1.00000000373008+0.000512546481317922i</v>
      </c>
      <c r="AN23" s="24" t="str">
        <f t="shared" si="16"/>
        <v>-334.590415227666+22.9049980833592i</v>
      </c>
      <c r="AO23" s="24">
        <f t="shared" si="6"/>
        <v>335.37350059213179</v>
      </c>
      <c r="AP23" s="24">
        <f t="shared" si="7"/>
        <v>3.0732424644247058</v>
      </c>
      <c r="AQ23" s="24">
        <f t="shared" si="8"/>
        <v>176.08382263191967</v>
      </c>
      <c r="AR23" s="24">
        <f t="shared" si="9"/>
        <v>50.510574880292765</v>
      </c>
      <c r="AS23" s="24">
        <f t="shared" si="17"/>
        <v>68.770641830720905</v>
      </c>
      <c r="AT23" s="24">
        <f t="shared" si="18"/>
        <v>176.0210750411425</v>
      </c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</row>
    <row r="24" spans="1:71" s="1" customFormat="1">
      <c r="A24" s="8" t="s">
        <v>98</v>
      </c>
      <c r="B24" s="14">
        <f>(B5*(1-B17))/(B7*B9*B6)*100/1000000*1000000</f>
        <v>3.3626881720430108</v>
      </c>
      <c r="C24" s="19" t="s">
        <v>109</v>
      </c>
      <c r="D24" s="6">
        <v>4.7</v>
      </c>
      <c r="E24" s="13" t="s">
        <v>109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4" t="s">
        <v>78</v>
      </c>
      <c r="T24" s="24">
        <f>D47</f>
        <v>2154.8112395692565</v>
      </c>
      <c r="U24" s="24" t="s">
        <v>70</v>
      </c>
      <c r="V24" s="24"/>
      <c r="W24" s="24"/>
      <c r="X24" s="24"/>
      <c r="Y24" s="24">
        <v>22</v>
      </c>
      <c r="Z24" s="24">
        <f t="shared" si="1"/>
        <v>3.8696037467813236</v>
      </c>
      <c r="AA24" s="24" t="str">
        <f t="shared" si="10"/>
        <v>24.3134374063835i</v>
      </c>
      <c r="AB24" s="24">
        <f t="shared" si="2"/>
        <v>9.4210346008907155</v>
      </c>
      <c r="AC24" s="24"/>
      <c r="AD24" s="24" t="str">
        <f t="shared" si="3"/>
        <v>0.999998654284652-0.00115834824537911i</v>
      </c>
      <c r="AE24" s="24" t="str">
        <f t="shared" si="4"/>
        <v>0.999999999975576-6.27680123039966E-06i</v>
      </c>
      <c r="AF24" s="24" t="str">
        <f t="shared" si="19"/>
        <v>8.1847047784736-0.00953212501181404i</v>
      </c>
      <c r="AG24" s="24">
        <f t="shared" si="5"/>
        <v>8.1847103291549566</v>
      </c>
      <c r="AH24" s="24">
        <f t="shared" si="12"/>
        <v>-1.1646260873377872E-3</v>
      </c>
      <c r="AI24" s="24">
        <f t="shared" si="0"/>
        <v>-6.6728159515289612E-2</v>
      </c>
      <c r="AJ24" s="24">
        <f t="shared" si="13"/>
        <v>18.260066271964149</v>
      </c>
      <c r="AK24" s="24"/>
      <c r="AL24" s="24" t="str">
        <f t="shared" si="14"/>
        <v>0.994648973509508-0.0729547325811682i</v>
      </c>
      <c r="AM24" s="24" t="str">
        <f t="shared" si="15"/>
        <v>1.00000000421834+0.000545061327728266i</v>
      </c>
      <c r="AN24" s="24" t="str">
        <f t="shared" si="16"/>
        <v>-334.384726205046+24.3429551817214i</v>
      </c>
      <c r="AO24" s="24">
        <f t="shared" si="6"/>
        <v>335.26962968065396</v>
      </c>
      <c r="AP24" s="24">
        <f t="shared" si="7"/>
        <v>3.0689216079022263</v>
      </c>
      <c r="AQ24" s="24">
        <f t="shared" si="8"/>
        <v>175.83625578930003</v>
      </c>
      <c r="AR24" s="24">
        <f t="shared" si="9"/>
        <v>50.507884294971944</v>
      </c>
      <c r="AS24" s="24">
        <f t="shared" si="17"/>
        <v>68.767950566936094</v>
      </c>
      <c r="AT24" s="24">
        <f t="shared" si="18"/>
        <v>175.76952762978473</v>
      </c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</row>
    <row r="25" spans="1:71" s="1" customFormat="1">
      <c r="A25" s="8" t="s">
        <v>17</v>
      </c>
      <c r="B25" s="4">
        <v>0.04</v>
      </c>
      <c r="C25" s="37" t="s">
        <v>56</v>
      </c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4" t="s">
        <v>79</v>
      </c>
      <c r="T25" s="24">
        <f>D48</f>
        <v>30.167357353969592</v>
      </c>
      <c r="U25" s="24" t="s">
        <v>70</v>
      </c>
      <c r="V25" s="24"/>
      <c r="W25" s="24"/>
      <c r="X25" s="24"/>
      <c r="Y25" s="24">
        <v>23</v>
      </c>
      <c r="Z25" s="24">
        <f t="shared" si="1"/>
        <v>4.1150830859167291</v>
      </c>
      <c r="AA25" s="24" t="str">
        <f t="shared" si="10"/>
        <v>25.8558295832552i</v>
      </c>
      <c r="AB25" s="24">
        <f t="shared" si="2"/>
        <v>9.4210346008907155</v>
      </c>
      <c r="AC25" s="24"/>
      <c r="AD25" s="24" t="str">
        <f t="shared" si="3"/>
        <v>0.999998478130702-0.00123183114911554i</v>
      </c>
      <c r="AE25" s="24" t="str">
        <f t="shared" si="4"/>
        <v>0.999999999972379-6.67498800060124E-06i</v>
      </c>
      <c r="AF25" s="24" t="str">
        <f t="shared" si="19"/>
        <v>8.18470332888772-0.0101368207304257i</v>
      </c>
      <c r="AG25" s="24">
        <f t="shared" si="5"/>
        <v>8.1847096061522073</v>
      </c>
      <c r="AH25" s="24">
        <f t="shared" si="12"/>
        <v>-1.2385073887393344E-3</v>
      </c>
      <c r="AI25" s="24">
        <f t="shared" si="0"/>
        <v>-7.0961246270532241E-2</v>
      </c>
      <c r="AJ25" s="24">
        <f t="shared" si="13"/>
        <v>18.260065504689301</v>
      </c>
      <c r="AK25" s="24"/>
      <c r="AL25" s="24" t="str">
        <f t="shared" si="14"/>
        <v>0.99395275961268-0.0775285190818083i</v>
      </c>
      <c r="AM25" s="24" t="str">
        <f t="shared" si="15"/>
        <v>1.00000000477052+0.000579638846062722i</v>
      </c>
      <c r="AN25" s="24" t="str">
        <f t="shared" si="16"/>
        <v>-334.152419271317+25.869099914306i</v>
      </c>
      <c r="AO25" s="24">
        <f t="shared" si="6"/>
        <v>335.15227827847201</v>
      </c>
      <c r="AP25" s="24">
        <f t="shared" si="7"/>
        <v>3.0643296975988301</v>
      </c>
      <c r="AQ25" s="24">
        <f t="shared" si="8"/>
        <v>175.5731587090128</v>
      </c>
      <c r="AR25" s="24">
        <f t="shared" si="9"/>
        <v>50.504843519225993</v>
      </c>
      <c r="AS25" s="24">
        <f t="shared" si="17"/>
        <v>68.764909023915294</v>
      </c>
      <c r="AT25" s="24">
        <f t="shared" si="18"/>
        <v>175.50219746274226</v>
      </c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</row>
    <row r="26" spans="1:71" s="1" customFormat="1" ht="39" customHeight="1">
      <c r="A26" s="52" t="s">
        <v>112</v>
      </c>
      <c r="B26" s="52"/>
      <c r="C26" s="52"/>
      <c r="D26" s="5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4"/>
      <c r="T26" s="24"/>
      <c r="U26" s="24"/>
      <c r="V26" s="24"/>
      <c r="W26" s="24"/>
      <c r="X26" s="24"/>
      <c r="Y26" s="24">
        <v>24</v>
      </c>
      <c r="Z26" s="24">
        <f t="shared" si="1"/>
        <v>4.376135106361553</v>
      </c>
      <c r="AA26" s="24" t="str">
        <f t="shared" si="10"/>
        <v>27.4960678025237i</v>
      </c>
      <c r="AB26" s="24">
        <f t="shared" si="2"/>
        <v>9.4210346008907155</v>
      </c>
      <c r="AC26" s="24"/>
      <c r="AD26" s="24" t="str">
        <f t="shared" si="3"/>
        <v>0.999998278918264-0.00130997560612062i</v>
      </c>
      <c r="AE26" s="24" t="str">
        <f t="shared" si="4"/>
        <v>0.999999999968763-7.09843488310154E-06i</v>
      </c>
      <c r="AF26" s="24" t="str">
        <f t="shared" si="19"/>
        <v>8.18470168955156-0.0107798766819656i</v>
      </c>
      <c r="AG26" s="24">
        <f t="shared" si="5"/>
        <v>8.184708788508571</v>
      </c>
      <c r="AH26" s="24">
        <f t="shared" si="12"/>
        <v>-1.3170755462578894E-3</v>
      </c>
      <c r="AI26" s="24">
        <f t="shared" si="0"/>
        <v>-7.5462870100464499E-2</v>
      </c>
      <c r="AJ26" s="24">
        <f t="shared" si="13"/>
        <v>18.260064636978278</v>
      </c>
      <c r="AK26" s="24"/>
      <c r="AL26" s="24" t="str">
        <f t="shared" si="14"/>
        <v>0.993166584710972-0.0823815496608074i</v>
      </c>
      <c r="AM26" s="24" t="str">
        <f t="shared" si="15"/>
        <v>1.00000000539499+0.00061640988779171i</v>
      </c>
      <c r="AN26" s="24" t="str">
        <f t="shared" si="16"/>
        <v>-333.890094888508+27.4884205947871i</v>
      </c>
      <c r="AO26" s="24">
        <f t="shared" si="6"/>
        <v>335.01971394449731</v>
      </c>
      <c r="AP26" s="24">
        <f t="shared" si="7"/>
        <v>3.0594501517627126</v>
      </c>
      <c r="AQ26" s="24">
        <f t="shared" si="8"/>
        <v>175.29358132666263</v>
      </c>
      <c r="AR26" s="24">
        <f t="shared" si="9"/>
        <v>50.501407269417804</v>
      </c>
      <c r="AS26" s="24">
        <f t="shared" si="17"/>
        <v>68.761471906396082</v>
      </c>
      <c r="AT26" s="24">
        <f t="shared" si="18"/>
        <v>175.21811845656217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</row>
    <row r="27" spans="1:71" s="1" customFormat="1">
      <c r="A27" s="9" t="s">
        <v>18</v>
      </c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4"/>
      <c r="T27" s="24"/>
      <c r="U27" s="24"/>
      <c r="V27" s="24"/>
      <c r="W27" s="24"/>
      <c r="X27" s="24"/>
      <c r="Y27" s="24">
        <v>25</v>
      </c>
      <c r="Z27" s="24">
        <f t="shared" si="1"/>
        <v>4.6537477055250784</v>
      </c>
      <c r="AA27" s="24" t="str">
        <f t="shared" si="10"/>
        <v>29.2403592066759i</v>
      </c>
      <c r="AB27" s="24">
        <f t="shared" si="2"/>
        <v>9.4210346008907155</v>
      </c>
      <c r="AC27" s="24"/>
      <c r="AD27" s="24" t="str">
        <f t="shared" si="3"/>
        <v>0.999998053629003-0.00139307732637122i</v>
      </c>
      <c r="AE27" s="24" t="str">
        <f t="shared" si="4"/>
        <v>0.999999999964673-7.54874432509611E-06i</v>
      </c>
      <c r="AF27" s="24" t="str">
        <f t="shared" si="19"/>
        <v>8.184699835627-0.0114637262835669i</v>
      </c>
      <c r="AG27" s="24">
        <f t="shared" si="5"/>
        <v>8.184707863835639</v>
      </c>
      <c r="AH27" s="24">
        <f t="shared" si="12"/>
        <v>-1.400627880977594E-3</v>
      </c>
      <c r="AI27" s="24">
        <f t="shared" si="0"/>
        <v>-8.0250066248367932E-2</v>
      </c>
      <c r="AJ27" s="24">
        <f t="shared" si="13"/>
        <v>18.26006365568405</v>
      </c>
      <c r="AK27" s="24"/>
      <c r="AL27" s="24" t="str">
        <f t="shared" si="14"/>
        <v>0.992278996639796-0.0875293634577338i</v>
      </c>
      <c r="AM27" s="24" t="str">
        <f t="shared" si="15"/>
        <v>1.00000000610119+0.00065551360532146i</v>
      </c>
      <c r="AN27" s="24" t="str">
        <f t="shared" si="16"/>
        <v>-333.593931792412+29.2061022005379i</v>
      </c>
      <c r="AO27" s="24">
        <f t="shared" si="6"/>
        <v>334.86998631479156</v>
      </c>
      <c r="AP27" s="24">
        <f t="shared" si="7"/>
        <v>3.054265459173354</v>
      </c>
      <c r="AQ27" s="24">
        <f t="shared" si="8"/>
        <v>174.99652032321961</v>
      </c>
      <c r="AR27" s="24">
        <f t="shared" si="9"/>
        <v>50.497524487853774</v>
      </c>
      <c r="AS27" s="24">
        <f t="shared" si="17"/>
        <v>68.757588143537816</v>
      </c>
      <c r="AT27" s="24">
        <f t="shared" si="18"/>
        <v>174.91627025697125</v>
      </c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</row>
    <row r="28" spans="1:71" s="1" customFormat="1">
      <c r="A28" s="10" t="s">
        <v>87</v>
      </c>
      <c r="B28" s="4">
        <v>0.3</v>
      </c>
      <c r="C28" s="21" t="s">
        <v>101</v>
      </c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36"/>
      <c r="T28" s="24"/>
      <c r="U28" s="24"/>
      <c r="V28" s="24"/>
      <c r="W28" s="24"/>
      <c r="X28" s="24"/>
      <c r="Y28" s="24">
        <v>26</v>
      </c>
      <c r="Z28" s="24">
        <f t="shared" si="1"/>
        <v>4.9489714509035139</v>
      </c>
      <c r="AA28" s="24" t="str">
        <f t="shared" si="10"/>
        <v>31.0953047059682i</v>
      </c>
      <c r="AB28" s="24">
        <f t="shared" si="2"/>
        <v>9.4210346008907155</v>
      </c>
      <c r="AC28" s="24"/>
      <c r="AD28" s="24" t="str">
        <f t="shared" si="3"/>
        <v>0.999997798849487-0.0014814507772382i</v>
      </c>
      <c r="AE28" s="24" t="str">
        <f t="shared" si="4"/>
        <v>0.999999999960049-8.02762042958419E-06i</v>
      </c>
      <c r="AF28" s="24" t="str">
        <f t="shared" si="19"/>
        <v>8.18469773902462-0.0121909573082097i</v>
      </c>
      <c r="AG28" s="24">
        <f t="shared" si="5"/>
        <v>8.1847068181233471</v>
      </c>
      <c r="AH28" s="24">
        <f t="shared" si="12"/>
        <v>-1.4894805747872838E-3</v>
      </c>
      <c r="AI28" s="24">
        <f t="shared" si="0"/>
        <v>-8.534095060203134E-2</v>
      </c>
      <c r="AJ28" s="24">
        <f t="shared" si="13"/>
        <v>18.26006254593862</v>
      </c>
      <c r="AK28" s="24"/>
      <c r="AL28" s="24" t="str">
        <f t="shared" si="14"/>
        <v>0.991277132868352-0.0929880568710402i</v>
      </c>
      <c r="AM28" s="24" t="str">
        <f t="shared" si="15"/>
        <v>1.00000000689984+0.000697097978587544i</v>
      </c>
      <c r="AN28" s="24" t="str">
        <f t="shared" si="16"/>
        <v>-333.259638119422+31.0275156508125i</v>
      </c>
      <c r="AO28" s="24">
        <f t="shared" si="6"/>
        <v>334.70090099512657</v>
      </c>
      <c r="AP28" s="24">
        <f t="shared" si="7"/>
        <v>3.0487571443351404</v>
      </c>
      <c r="AQ28" s="24">
        <f t="shared" si="8"/>
        <v>174.68091713076072</v>
      </c>
      <c r="AR28" s="24">
        <f t="shared" si="9"/>
        <v>50.493137629090711</v>
      </c>
      <c r="AS28" s="24">
        <f t="shared" si="17"/>
        <v>68.753200175029335</v>
      </c>
      <c r="AT28" s="24">
        <f t="shared" si="18"/>
        <v>174.59557618015867</v>
      </c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</row>
    <row r="29" spans="1:71" s="1" customFormat="1">
      <c r="A29" s="8" t="s">
        <v>89</v>
      </c>
      <c r="B29" s="14">
        <f>B12/100*B5</f>
        <v>3.3000000000000002E-2</v>
      </c>
      <c r="C29" s="19" t="s">
        <v>100</v>
      </c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4" t="s">
        <v>80</v>
      </c>
      <c r="T29" s="36">
        <f>D24</f>
        <v>4.7</v>
      </c>
      <c r="U29" s="24"/>
      <c r="V29" s="24"/>
      <c r="W29" s="24"/>
      <c r="X29" s="24"/>
      <c r="Y29" s="24">
        <v>27</v>
      </c>
      <c r="Z29" s="24">
        <f t="shared" si="1"/>
        <v>5.2629235557355134</v>
      </c>
      <c r="AA29" s="24" t="str">
        <f t="shared" si="10"/>
        <v>33.0679239582067i</v>
      </c>
      <c r="AB29" s="24">
        <f t="shared" si="2"/>
        <v>9.4210346008907155</v>
      </c>
      <c r="AC29" s="24"/>
      <c r="AD29" s="24" t="str">
        <f t="shared" si="3"/>
        <v>0.999997510719474-0.00157543037304824i</v>
      </c>
      <c r="AE29" s="24" t="str">
        <f t="shared" si="4"/>
        <v>0.99999999995482-8.53687540419406E-06i</v>
      </c>
      <c r="AF29" s="24" t="str">
        <f t="shared" si="19"/>
        <v>8.18469536797816-0.0129643216737045i</v>
      </c>
      <c r="AG29" s="24">
        <f t="shared" si="5"/>
        <v>8.1847056355277434</v>
      </c>
      <c r="AH29" s="24">
        <f t="shared" si="12"/>
        <v>-1.5839698667467193E-3</v>
      </c>
      <c r="AI29" s="24">
        <f t="shared" si="0"/>
        <v>-9.0754788240486411E-2</v>
      </c>
      <c r="AJ29" s="24">
        <f t="shared" si="13"/>
        <v>18.260061290927801</v>
      </c>
      <c r="AK29" s="24"/>
      <c r="AL29" s="24" t="str">
        <f t="shared" si="14"/>
        <v>0.990146559936934-0.0987742364282777i</v>
      </c>
      <c r="AM29" s="24" t="str">
        <f t="shared" si="15"/>
        <v>1.00000000780303+0.000741320375054326i</v>
      </c>
      <c r="AN29" s="24" t="str">
        <f t="shared" si="16"/>
        <v>-332.882397831271+32.958202080884i</v>
      </c>
      <c r="AO29" s="24">
        <f t="shared" si="6"/>
        <v>334.50999068832158</v>
      </c>
      <c r="AP29" s="24">
        <f t="shared" si="7"/>
        <v>3.0429057351269022</v>
      </c>
      <c r="AQ29" s="24">
        <f t="shared" si="8"/>
        <v>174.34565607892466</v>
      </c>
      <c r="AR29" s="24">
        <f t="shared" si="9"/>
        <v>50.488181864260007</v>
      </c>
      <c r="AS29" s="24">
        <f t="shared" si="17"/>
        <v>68.748243155187808</v>
      </c>
      <c r="AT29" s="24">
        <f t="shared" si="18"/>
        <v>174.25490129068419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</row>
    <row r="30" spans="1:71" s="1" customFormat="1">
      <c r="A30" s="8" t="s">
        <v>96</v>
      </c>
      <c r="B30" s="17">
        <f>(D24*B28^2)/(B5*B29*2)/1000000*1000000</f>
        <v>1.9421487603305787</v>
      </c>
      <c r="C30" s="19" t="s">
        <v>108</v>
      </c>
      <c r="D30" s="6">
        <v>20</v>
      </c>
      <c r="E30" s="13" t="s">
        <v>108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" t="s">
        <v>81</v>
      </c>
      <c r="T30" s="24">
        <f>B5</f>
        <v>3.3</v>
      </c>
      <c r="U30" s="24"/>
      <c r="V30" s="24"/>
      <c r="W30" s="24"/>
      <c r="X30" s="24"/>
      <c r="Y30" s="24">
        <v>28</v>
      </c>
      <c r="Z30" s="24">
        <f t="shared" si="1"/>
        <v>5.5967921068647417</v>
      </c>
      <c r="AA30" s="24" t="str">
        <f t="shared" si="10"/>
        <v>35.1656819331912i</v>
      </c>
      <c r="AB30" s="24">
        <f t="shared" si="2"/>
        <v>9.4210346008907155</v>
      </c>
      <c r="AC30" s="24"/>
      <c r="AD30" s="24" t="str">
        <f t="shared" si="3"/>
        <v>0.999997184873425-0.00167537174003441i</v>
      </c>
      <c r="AE30" s="24" t="str">
        <f t="shared" si="4"/>
        <v>0.999999999948906-9.07843641910821E-06i</v>
      </c>
      <c r="AF30" s="24" t="str">
        <f t="shared" si="19"/>
        <v>8.18469268656322-0.0137867458520549i</v>
      </c>
      <c r="AG30" s="24">
        <f t="shared" si="5"/>
        <v>8.1847042981309137</v>
      </c>
      <c r="AH30" s="24">
        <f t="shared" si="12"/>
        <v>-1.684453325322762E-3</v>
      </c>
      <c r="AI30" s="24">
        <f t="shared" si="0"/>
        <v>-9.6512066327771318E-2</v>
      </c>
      <c r="AJ30" s="24">
        <f t="shared" si="13"/>
        <v>18.260059871636415</v>
      </c>
      <c r="AK30" s="24"/>
      <c r="AL30" s="24" t="str">
        <f t="shared" si="14"/>
        <v>0.988871098283485-0.104904953472653i</v>
      </c>
      <c r="AM30" s="24" t="str">
        <f t="shared" si="15"/>
        <v>1.00000000882444+0.000788348145239598i</v>
      </c>
      <c r="AN30" s="24" t="str">
        <f t="shared" si="16"/>
        <v>-332.456812264604+35.0038510488138i</v>
      </c>
      <c r="AO30" s="24">
        <f t="shared" si="6"/>
        <v>334.29448336667133</v>
      </c>
      <c r="AP30" s="24">
        <f t="shared" si="7"/>
        <v>3.0366907339273723</v>
      </c>
      <c r="AQ30" s="24">
        <f t="shared" si="8"/>
        <v>173.98956274052287</v>
      </c>
      <c r="AR30" s="24">
        <f t="shared" si="9"/>
        <v>50.4825841957352</v>
      </c>
      <c r="AS30" s="24">
        <f t="shared" si="17"/>
        <v>68.742644067371614</v>
      </c>
      <c r="AT30" s="24">
        <f t="shared" si="18"/>
        <v>173.89305067419511</v>
      </c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</row>
    <row r="31" spans="1:71" s="1" customFormat="1">
      <c r="A31" s="8" t="s">
        <v>19</v>
      </c>
      <c r="B31" s="4">
        <v>7.0000000000000001E-3</v>
      </c>
      <c r="C31" s="37" t="s">
        <v>56</v>
      </c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4"/>
      <c r="T31" s="24"/>
      <c r="U31" s="24"/>
      <c r="V31" s="24"/>
      <c r="W31" s="24"/>
      <c r="X31" s="24"/>
      <c r="Y31" s="24">
        <v>29</v>
      </c>
      <c r="Z31" s="24">
        <f t="shared" si="1"/>
        <v>5.9518405608089449</v>
      </c>
      <c r="AA31" s="24" t="str">
        <f t="shared" si="10"/>
        <v>37.3965171623503i</v>
      </c>
      <c r="AB31" s="24">
        <f t="shared" si="2"/>
        <v>9.4210346008907155</v>
      </c>
      <c r="AC31" s="24"/>
      <c r="AD31" s="24" t="str">
        <f t="shared" si="3"/>
        <v>0.999996816374366-0.00178165306144318i</v>
      </c>
      <c r="AE31" s="24" t="str">
        <f t="shared" si="4"/>
        <v>0.999999999942218-9.65435290004052E-06i</v>
      </c>
      <c r="AF31" s="24" t="str">
        <f t="shared" si="19"/>
        <v>8.18468965415301-0.0146613419384332i</v>
      </c>
      <c r="AG31" s="24">
        <f t="shared" si="5"/>
        <v>8.1847027856695416</v>
      </c>
      <c r="AH31" s="24">
        <f t="shared" si="12"/>
        <v>-1.7913112013037177E-3</v>
      </c>
      <c r="AI31" s="24">
        <f t="shared" si="0"/>
        <v>-0.10263457162921243</v>
      </c>
      <c r="AJ31" s="24">
        <f t="shared" si="13"/>
        <v>18.26005826656025</v>
      </c>
      <c r="AK31" s="24"/>
      <c r="AL31" s="24" t="str">
        <f t="shared" si="14"/>
        <v>0.987432632203148-0.111397616956157i</v>
      </c>
      <c r="AM31" s="24" t="str">
        <f t="shared" si="15"/>
        <v>1.00000000997956+0.00083835925601801i</v>
      </c>
      <c r="AN31" s="24" t="str">
        <f t="shared" si="16"/>
        <v>-331.97683671985+37.1702714370017i</v>
      </c>
      <c r="AO31" s="24">
        <f t="shared" si="6"/>
        <v>334.05126731868319</v>
      </c>
      <c r="AP31" s="24">
        <f t="shared" si="7"/>
        <v>3.0300905934485018</v>
      </c>
      <c r="AQ31" s="24">
        <f t="shared" si="8"/>
        <v>173.61140254689013</v>
      </c>
      <c r="AR31" s="24">
        <f t="shared" si="9"/>
        <v>50.476262474254611</v>
      </c>
      <c r="AS31" s="24">
        <f t="shared" si="17"/>
        <v>68.736320740814861</v>
      </c>
      <c r="AT31" s="24">
        <f t="shared" si="18"/>
        <v>173.50876797526092</v>
      </c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</row>
    <row r="32" spans="1:71" s="1" customFormat="1">
      <c r="A32" s="8" t="s">
        <v>20</v>
      </c>
      <c r="B32" s="14">
        <f>(B5*(1-B17))/(B7*D24)/8/D30/B7</f>
        <v>8.0489876458476309E-4</v>
      </c>
      <c r="C32" s="19" t="s">
        <v>100</v>
      </c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4"/>
      <c r="T32" s="24"/>
      <c r="U32" s="24"/>
      <c r="V32" s="24"/>
      <c r="W32" s="24"/>
      <c r="X32" s="24"/>
      <c r="Y32" s="24">
        <v>30</v>
      </c>
      <c r="Z32" s="24">
        <f t="shared" si="1"/>
        <v>6.3294125250499764</v>
      </c>
      <c r="AA32" s="24" t="str">
        <f t="shared" si="10"/>
        <v>39.7688717804725i</v>
      </c>
      <c r="AB32" s="24">
        <f t="shared" si="2"/>
        <v>9.4210346008907155</v>
      </c>
      <c r="AC32" s="24"/>
      <c r="AD32" s="24" t="str">
        <f t="shared" si="3"/>
        <v>0.999996399639087-0.00189467650786452i</v>
      </c>
      <c r="AE32" s="24" t="str">
        <f t="shared" si="4"/>
        <v>0.999999999934655-0.0000102668042838642i</v>
      </c>
      <c r="AF32" s="24" t="str">
        <f t="shared" si="19"/>
        <v>8.18468622480285-0.0155914194214619i</v>
      </c>
      <c r="AG32" s="24">
        <f t="shared" si="5"/>
        <v>8.1847010752279203</v>
      </c>
      <c r="AH32" s="24">
        <f t="shared" si="12"/>
        <v>-1.9049478665035687E-3</v>
      </c>
      <c r="AI32" s="24">
        <f t="shared" si="0"/>
        <v>-0.10914547294310505</v>
      </c>
      <c r="AJ32" s="24">
        <f t="shared" si="13"/>
        <v>18.260056451380258</v>
      </c>
      <c r="AK32" s="24"/>
      <c r="AL32" s="24" t="str">
        <f t="shared" si="14"/>
        <v>0.985810905057309-0.11826988005151i</v>
      </c>
      <c r="AM32" s="24" t="str">
        <f t="shared" si="15"/>
        <v>1.00000001128589+0.000891542964099889i</v>
      </c>
      <c r="AN32" s="24" t="str">
        <f t="shared" si="16"/>
        <v>-331.43571212824+39.4633536178144i</v>
      </c>
      <c r="AO32" s="24">
        <f t="shared" si="6"/>
        <v>333.77685293129338</v>
      </c>
      <c r="AP32" s="24">
        <f t="shared" si="7"/>
        <v>3.0230826987543811</v>
      </c>
      <c r="AQ32" s="24">
        <f t="shared" si="8"/>
        <v>173.2098797576449</v>
      </c>
      <c r="AR32" s="24">
        <f t="shared" si="9"/>
        <v>50.469124310568958</v>
      </c>
      <c r="AS32" s="24">
        <f t="shared" si="17"/>
        <v>68.729180761949209</v>
      </c>
      <c r="AT32" s="24">
        <f t="shared" si="18"/>
        <v>173.10073428470179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</row>
    <row r="33" spans="1:71" s="1" customFormat="1">
      <c r="A33" s="8" t="s">
        <v>21</v>
      </c>
      <c r="B33" s="14">
        <f>(B5*(1-B17))/(B7*D24)*B31</f>
        <v>1.8029732326698693E-3</v>
      </c>
      <c r="C33" s="19" t="s">
        <v>100</v>
      </c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4"/>
      <c r="T33" s="24"/>
      <c r="U33" s="24"/>
      <c r="V33" s="24"/>
      <c r="W33" s="24"/>
      <c r="X33" s="24"/>
      <c r="Y33" s="24">
        <v>31</v>
      </c>
      <c r="Z33" s="24">
        <f t="shared" si="1"/>
        <v>6.7309368426385694</v>
      </c>
      <c r="AA33" s="24" t="str">
        <f t="shared" si="10"/>
        <v>42.2917234732204i</v>
      </c>
      <c r="AB33" s="24">
        <f t="shared" si="2"/>
        <v>9.4210346008907155</v>
      </c>
      <c r="AC33" s="24"/>
      <c r="AD33" s="24" t="str">
        <f t="shared" si="3"/>
        <v>0.999995928353555-0.00201486975816973i</v>
      </c>
      <c r="AE33" s="24" t="str">
        <f t="shared" si="4"/>
        <v>0.999999999926101-0.0000109181082662402i</v>
      </c>
      <c r="AF33" s="24" t="str">
        <f t="shared" si="19"/>
        <v>8.18468234655398-0.0165804976991126i</v>
      </c>
      <c r="AG33" s="24">
        <f t="shared" si="5"/>
        <v>8.1846991408906611</v>
      </c>
      <c r="AH33" s="24">
        <f t="shared" si="12"/>
        <v>-2.0257933436913533E-3</v>
      </c>
      <c r="AI33" s="24">
        <f t="shared" si="0"/>
        <v>-0.11606940875920957</v>
      </c>
      <c r="AJ33" s="24">
        <f t="shared" si="13"/>
        <v>18.260054398593994</v>
      </c>
      <c r="AK33" s="24"/>
      <c r="AL33" s="24" t="str">
        <f t="shared" si="14"/>
        <v>0.98398330036017-0.125539495667607i</v>
      </c>
      <c r="AM33" s="24" t="str">
        <f t="shared" si="15"/>
        <v>1.00000001276321+0.00094810053223413i</v>
      </c>
      <c r="AN33" s="24" t="str">
        <f t="shared" si="16"/>
        <v>-330.825892006585+41.8890212431912i</v>
      </c>
      <c r="AO33" s="24">
        <f t="shared" si="6"/>
        <v>333.46733111755509</v>
      </c>
      <c r="AP33" s="24">
        <f t="shared" si="7"/>
        <v>3.0156433572264958</v>
      </c>
      <c r="AQ33" s="24">
        <f t="shared" si="8"/>
        <v>172.78363688574063</v>
      </c>
      <c r="AR33" s="24">
        <f t="shared" si="9"/>
        <v>50.461065873877217</v>
      </c>
      <c r="AS33" s="24">
        <f t="shared" si="17"/>
        <v>68.721120272471211</v>
      </c>
      <c r="AT33" s="24">
        <f t="shared" si="18"/>
        <v>172.66756747698142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</row>
    <row r="34" spans="1:71" s="1" customFormat="1">
      <c r="A34" s="8"/>
      <c r="B34" s="12"/>
      <c r="C34" s="19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4"/>
      <c r="S34" s="24"/>
      <c r="T34" s="24"/>
      <c r="U34" s="24"/>
      <c r="V34" s="24"/>
      <c r="W34" s="24"/>
      <c r="X34" s="24"/>
      <c r="Y34" s="24">
        <v>32</v>
      </c>
      <c r="Z34" s="24">
        <f t="shared" si="1"/>
        <v>7.1579329993555039</v>
      </c>
      <c r="AA34" s="24" t="str">
        <f t="shared" si="10"/>
        <v>44.9746194513264i</v>
      </c>
      <c r="AB34" s="24">
        <f t="shared" si="2"/>
        <v>9.4210346008907155</v>
      </c>
      <c r="AC34" s="24"/>
      <c r="AD34" s="24" t="str">
        <f t="shared" si="3"/>
        <v>0.999995395377256-0.00214268761677875i</v>
      </c>
      <c r="AE34" s="24" t="str">
        <f t="shared" si="4"/>
        <v>0.999999999916427-0.000011610729572457i</v>
      </c>
      <c r="AF34" s="24" t="str">
        <f t="shared" si="19"/>
        <v>8.18467796064653-0.0176323193873069i</v>
      </c>
      <c r="AG34" s="24">
        <f t="shared" si="5"/>
        <v>8.1846969533501994</v>
      </c>
      <c r="AH34" s="24">
        <f t="shared" si="12"/>
        <v>-2.1543049335239466E-3</v>
      </c>
      <c r="AI34" s="24">
        <f t="shared" si="0"/>
        <v>-0.12343258047513352</v>
      </c>
      <c r="AJ34" s="24">
        <f t="shared" si="13"/>
        <v>18.260052077099065</v>
      </c>
      <c r="AK34" s="24"/>
      <c r="AL34" s="24" t="str">
        <f t="shared" si="14"/>
        <v>0.981924610055273-0.133224135287393i</v>
      </c>
      <c r="AM34" s="24" t="str">
        <f t="shared" si="15"/>
        <v>1.00000001443391+0.00100824599084545i</v>
      </c>
      <c r="AN34" s="24" t="str">
        <f t="shared" si="16"/>
        <v>-330.13896513769+44.4531707959832i</v>
      </c>
      <c r="AO34" s="24">
        <f t="shared" si="6"/>
        <v>333.11832836996786</v>
      </c>
      <c r="AP34" s="24">
        <f t="shared" si="7"/>
        <v>3.0077477985587979</v>
      </c>
      <c r="AQ34" s="24">
        <f t="shared" si="8"/>
        <v>172.33125469718362</v>
      </c>
      <c r="AR34" s="24">
        <f t="shared" si="9"/>
        <v>50.45197056982208</v>
      </c>
      <c r="AS34" s="24">
        <f t="shared" si="17"/>
        <v>68.712022646921142</v>
      </c>
      <c r="AT34" s="24">
        <f t="shared" si="18"/>
        <v>172.20782211670848</v>
      </c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</row>
    <row r="35" spans="1:71" s="1" customFormat="1">
      <c r="A35" s="11" t="s">
        <v>22</v>
      </c>
      <c r="B35" s="12"/>
      <c r="C35" s="12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4"/>
      <c r="S35" s="24"/>
      <c r="T35" s="24"/>
      <c r="U35" s="24"/>
      <c r="V35" s="24"/>
      <c r="W35" s="24"/>
      <c r="X35" s="24"/>
      <c r="Y35" s="24">
        <v>33</v>
      </c>
      <c r="Z35" s="24">
        <f t="shared" si="1"/>
        <v>7.6120168738914558</v>
      </c>
      <c r="AA35" s="24" t="str">
        <f t="shared" si="10"/>
        <v>47.8277125800379i</v>
      </c>
      <c r="AB35" s="24">
        <f t="shared" si="2"/>
        <v>9.4210346008907155</v>
      </c>
      <c r="AC35" s="24"/>
      <c r="AD35" s="24" t="str">
        <f t="shared" si="3"/>
        <v>0.999994792635014-0.00227861373333638i</v>
      </c>
      <c r="AE35" s="24" t="str">
        <f t="shared" si="4"/>
        <v>0.999999999905487-0.0000123472892846745i</v>
      </c>
      <c r="AF35" s="24" t="str">
        <f t="shared" si="19"/>
        <v>8.18467300062918-0.0187508644712464i</v>
      </c>
      <c r="AG35" s="24">
        <f t="shared" si="5"/>
        <v>8.184694479462669</v>
      </c>
      <c r="AH35" s="24">
        <f t="shared" si="12"/>
        <v>-2.2909689446254204E-3</v>
      </c>
      <c r="AI35" s="24">
        <f t="shared" si="0"/>
        <v>-0.131262851522577</v>
      </c>
      <c r="AJ35" s="24">
        <f t="shared" si="13"/>
        <v>18.260049451721798</v>
      </c>
      <c r="AK35" s="24"/>
      <c r="AL35" s="24" t="str">
        <f t="shared" si="14"/>
        <v>0.979606792190561-0.141341164862472i</v>
      </c>
      <c r="AM35" s="24" t="str">
        <f t="shared" si="15"/>
        <v>1.00000001632331+0.0010722069479882i</v>
      </c>
      <c r="AN35" s="24" t="str">
        <f t="shared" si="16"/>
        <v>-329.365574713358+47.1615968123354i</v>
      </c>
      <c r="AO35" s="24">
        <f t="shared" si="6"/>
        <v>332.72495851701581</v>
      </c>
      <c r="AP35" s="24">
        <f t="shared" si="7"/>
        <v>2.9993701872306078</v>
      </c>
      <c r="AQ35" s="24">
        <f t="shared" si="8"/>
        <v>171.85125292567736</v>
      </c>
      <c r="AR35" s="24">
        <f t="shared" si="9"/>
        <v>50.441707591747544</v>
      </c>
      <c r="AS35" s="24">
        <f t="shared" si="17"/>
        <v>68.701757043469343</v>
      </c>
      <c r="AT35" s="24">
        <f t="shared" si="18"/>
        <v>171.71999007415479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</row>
    <row r="36" spans="1:71" s="1" customFormat="1">
      <c r="A36" s="8" t="s">
        <v>90</v>
      </c>
      <c r="B36" s="13" t="s">
        <v>82</v>
      </c>
      <c r="C36" s="37" t="s">
        <v>56</v>
      </c>
      <c r="D36" s="6">
        <v>31.6</v>
      </c>
      <c r="E36" s="37" t="s">
        <v>56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24"/>
      <c r="S36" s="24"/>
      <c r="T36" s="24"/>
      <c r="U36" s="24"/>
      <c r="V36" s="24"/>
      <c r="W36" s="24"/>
      <c r="X36" s="24"/>
      <c r="Y36" s="24">
        <v>34</v>
      </c>
      <c r="Z36" s="24">
        <f t="shared" si="1"/>
        <v>8.0949068528058863</v>
      </c>
      <c r="AA36" s="24" t="str">
        <f t="shared" si="10"/>
        <v>50.8617998005373i</v>
      </c>
      <c r="AB36" s="24">
        <f t="shared" si="2"/>
        <v>9.4210346008907155</v>
      </c>
      <c r="AC36" s="24"/>
      <c r="AD36" s="24" t="str">
        <f t="shared" si="3"/>
        <v>0.999994110994655-0.00242316243125599i</v>
      </c>
      <c r="AE36" s="24" t="str">
        <f t="shared" si="4"/>
        <v>0.999999999893115-0.0000131305747608665i</v>
      </c>
      <c r="AF36" s="24" t="str">
        <f t="shared" si="19"/>
        <v>8.18466739135249-0.019940365352621i</v>
      </c>
      <c r="AG36" s="24">
        <f t="shared" si="5"/>
        <v>8.1846916817458162</v>
      </c>
      <c r="AH36" s="24">
        <f t="shared" ref="AH36:AH67" si="20">IMARGUMENT(AF36)</f>
        <v>-2.4363025333436262E-3</v>
      </c>
      <c r="AI36" s="24">
        <f t="shared" si="0"/>
        <v>-0.13958985277762032</v>
      </c>
      <c r="AJ36" s="24">
        <f t="shared" ref="AJ36:AJ67" si="21">20*LOG(AG36,10)</f>
        <v>18.260046482684405</v>
      </c>
      <c r="AK36" s="24"/>
      <c r="AL36" s="24" t="str">
        <f t="shared" ref="AL36:AL67" si="22">IMDIV(1,IMSUM(1,IMDIV(AA36,wp2e)))</f>
        <v>0.976998721352623-0.149907370825997i</v>
      </c>
      <c r="AM36" s="24" t="str">
        <f t="shared" ref="AM36:AM67" si="23">IMDIV(IMSUM(1,IMDIV(AA36,wz2e)),IMSUM(1,IMDIV(AA36,wp1e)))</f>
        <v>1.00000001846004+0.00114022545068208i</v>
      </c>
      <c r="AN36" s="24" t="str">
        <f t="shared" ref="AN36:AN67" si="24">IMPRODUCT($AK$2,AL36,AM36)</f>
        <v>-328.495335061336+50.0199004599486i</v>
      </c>
      <c r="AO36" s="24">
        <f t="shared" si="6"/>
        <v>332.28177139151433</v>
      </c>
      <c r="AP36" s="24">
        <f t="shared" si="7"/>
        <v>2.9904836503117185</v>
      </c>
      <c r="AQ36" s="24">
        <f t="shared" si="8"/>
        <v>171.34209186573781</v>
      </c>
      <c r="AR36" s="24">
        <f t="shared" si="9"/>
        <v>50.430130340396872</v>
      </c>
      <c r="AS36" s="24">
        <f t="shared" ref="AS36:AS67" si="25">AR36+AJ36</f>
        <v>68.690176823081273</v>
      </c>
      <c r="AT36" s="24">
        <f t="shared" ref="AT36:AT67" si="26">AQ36+AI36</f>
        <v>171.2025020129602</v>
      </c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</row>
    <row r="37" spans="1:71" s="1" customFormat="1">
      <c r="A37" s="8" t="s">
        <v>91</v>
      </c>
      <c r="B37" s="42">
        <f>D36*(B5/0.8-1)</f>
        <v>98.749999999999972</v>
      </c>
      <c r="C37" s="37" t="s">
        <v>56</v>
      </c>
      <c r="D37" s="6">
        <v>100</v>
      </c>
      <c r="E37" s="37" t="s">
        <v>56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4"/>
      <c r="S37" s="24"/>
      <c r="T37" s="24"/>
      <c r="U37" s="24"/>
      <c r="V37" s="24"/>
      <c r="W37" s="24"/>
      <c r="X37" s="24"/>
      <c r="Y37" s="24">
        <v>35</v>
      </c>
      <c r="Z37" s="24">
        <f t="shared" si="1"/>
        <v>8.6084303334057619</v>
      </c>
      <c r="AA37" s="24" t="str">
        <f t="shared" si="10"/>
        <v>54.0883629887341i</v>
      </c>
      <c r="AB37" s="24">
        <f t="shared" si="2"/>
        <v>9.4210346008907155</v>
      </c>
      <c r="AC37" s="24"/>
      <c r="AD37" s="24" t="str">
        <f t="shared" si="3"/>
        <v>0.999993340128656-0.00257688065199169i</v>
      </c>
      <c r="AE37" s="24" t="str">
        <f t="shared" si="4"/>
        <v>0.999999999879124-0.0000139635501830022i</v>
      </c>
      <c r="AF37" s="24" t="str">
        <f t="shared" si="19"/>
        <v>8.18466104783041-0.0212053228491545i</v>
      </c>
      <c r="AG37" s="24">
        <f t="shared" si="5"/>
        <v>8.184688517811141</v>
      </c>
      <c r="AH37" s="24">
        <f t="shared" si="20"/>
        <v>-2.5908556601266786E-3</v>
      </c>
      <c r="AI37" s="24">
        <f t="shared" si="0"/>
        <v>-0.14844509465283953</v>
      </c>
      <c r="AJ37" s="24">
        <f t="shared" si="21"/>
        <v>18.260043125002309</v>
      </c>
      <c r="AK37" s="24"/>
      <c r="AL37" s="24" t="str">
        <f t="shared" si="22"/>
        <v>0.974065936676214-0.158938628669382i</v>
      </c>
      <c r="AM37" s="24" t="str">
        <f t="shared" si="23"/>
        <v>1.00000002087646+0.00121255890088887i</v>
      </c>
      <c r="AN37" s="24" t="str">
        <f t="shared" si="24"/>
        <v>-327.5167475632+53.0333789515115i</v>
      </c>
      <c r="AO37" s="24">
        <f t="shared" si="6"/>
        <v>331.78269879153055</v>
      </c>
      <c r="AP37" s="24">
        <f t="shared" si="7"/>
        <v>2.9810603239004636</v>
      </c>
      <c r="AQ37" s="24">
        <f t="shared" si="8"/>
        <v>170.80217503339873</v>
      </c>
      <c r="AR37" s="24">
        <f t="shared" si="9"/>
        <v>50.417074709398321</v>
      </c>
      <c r="AS37" s="24">
        <f t="shared" si="25"/>
        <v>68.677117834400633</v>
      </c>
      <c r="AT37" s="24">
        <f t="shared" si="26"/>
        <v>170.6537299387459</v>
      </c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</row>
    <row r="38" spans="1:71" s="1" customFormat="1">
      <c r="A38" s="8" t="s">
        <v>23</v>
      </c>
      <c r="B38" s="15">
        <f>D37*0.8/D36+0.8</f>
        <v>3.3316455696202532</v>
      </c>
      <c r="C38" s="19" t="s">
        <v>100</v>
      </c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4"/>
      <c r="S38" s="24"/>
      <c r="T38" s="24"/>
      <c r="U38" s="24"/>
      <c r="V38" s="24"/>
      <c r="W38" s="24"/>
      <c r="X38" s="24"/>
      <c r="Y38" s="24">
        <v>36</v>
      </c>
      <c r="Z38" s="24">
        <f t="shared" si="1"/>
        <v>9.1545306391529166</v>
      </c>
      <c r="AA38" s="24" t="str">
        <f t="shared" si="10"/>
        <v>57.519612406051i</v>
      </c>
      <c r="AB38" s="24">
        <f t="shared" si="2"/>
        <v>9.4210346008907155</v>
      </c>
      <c r="AC38" s="24"/>
      <c r="AD38" s="24" t="str">
        <f t="shared" si="3"/>
        <v>0.999992468357688-0.00274035002232544i</v>
      </c>
      <c r="AE38" s="24" t="str">
        <f t="shared" si="4"/>
        <v>0.999999999863301-0.0000148493677743789i</v>
      </c>
      <c r="AF38" s="24" t="str">
        <f t="shared" si="19"/>
        <v>8.18465387395271-0.0225505232064476i</v>
      </c>
      <c r="AG38" s="24">
        <f t="shared" si="5"/>
        <v>8.1846849397216257</v>
      </c>
      <c r="AH38" s="24">
        <f t="shared" si="20"/>
        <v>-2.7552131698987976E-3</v>
      </c>
      <c r="AI38" s="24">
        <f t="shared" si="0"/>
        <v>-0.15786208629406212</v>
      </c>
      <c r="AJ38" s="24">
        <f t="shared" si="21"/>
        <v>18.260039327802527</v>
      </c>
      <c r="AK38" s="24"/>
      <c r="AL38" s="24" t="str">
        <f t="shared" si="22"/>
        <v>0.970770394053319-0.16844950603336i</v>
      </c>
      <c r="AM38" s="24" t="str">
        <f t="shared" si="23"/>
        <v>1.00000002360919+0.00128948102959699i</v>
      </c>
      <c r="AN38" s="24" t="str">
        <f t="shared" si="24"/>
        <v>-326.417117973518+56.2068931074218i</v>
      </c>
      <c r="AO38" s="24">
        <f t="shared" si="6"/>
        <v>331.22099833634746</v>
      </c>
      <c r="AP38" s="24">
        <f t="shared" si="7"/>
        <v>2.9710714219763541</v>
      </c>
      <c r="AQ38" s="24">
        <f t="shared" si="8"/>
        <v>170.22985311117716</v>
      </c>
      <c r="AR38" s="24">
        <f t="shared" si="9"/>
        <v>50.402357236926328</v>
      </c>
      <c r="AS38" s="24">
        <f t="shared" si="25"/>
        <v>68.662396564728851</v>
      </c>
      <c r="AT38" s="24">
        <f t="shared" si="26"/>
        <v>170.07199102488309</v>
      </c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</row>
    <row r="39" spans="1:71" s="1" customFormat="1">
      <c r="A39" s="8"/>
      <c r="B39" s="12"/>
      <c r="C39" s="19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4"/>
      <c r="S39" s="24"/>
      <c r="T39" s="24"/>
      <c r="U39" s="24"/>
      <c r="V39" s="24"/>
      <c r="W39" s="24"/>
      <c r="X39" s="24"/>
      <c r="Y39" s="24">
        <v>37</v>
      </c>
      <c r="Z39" s="24">
        <f t="shared" si="1"/>
        <v>9.7352743737700074</v>
      </c>
      <c r="AA39" s="24" t="str">
        <f t="shared" si="10"/>
        <v>61.1685329066337i</v>
      </c>
      <c r="AB39" s="24">
        <f t="shared" si="2"/>
        <v>9.4210346008907155</v>
      </c>
      <c r="AC39" s="24"/>
      <c r="AD39" s="24" t="str">
        <f t="shared" si="3"/>
        <v>0.999991482473685-0.00291418905240715i</v>
      </c>
      <c r="AE39" s="24" t="str">
        <f t="shared" si="4"/>
        <v>0.999999999845408-0.0000157913797285594i</v>
      </c>
      <c r="AF39" s="24" t="str">
        <f t="shared" si="19"/>
        <v>8.18464576102912-0.0239810561857973i</v>
      </c>
      <c r="AG39" s="24">
        <f t="shared" si="5"/>
        <v>8.1846808932656465</v>
      </c>
      <c r="AH39" s="24">
        <f t="shared" si="20"/>
        <v>-2.9299970042800339E-3</v>
      </c>
      <c r="AI39" s="24">
        <f t="shared" si="0"/>
        <v>-0.16787646233122056</v>
      </c>
      <c r="AJ39" s="24">
        <f t="shared" si="21"/>
        <v>18.260035033553084</v>
      </c>
      <c r="AK39" s="24"/>
      <c r="AL39" s="24" t="str">
        <f t="shared" si="22"/>
        <v>0.967070231373807-0.178452791977089i</v>
      </c>
      <c r="AM39" s="24" t="str">
        <f t="shared" si="23"/>
        <v>1.00000002669963+0.00137128293269974i</v>
      </c>
      <c r="AN39" s="24" t="str">
        <f t="shared" si="24"/>
        <v>-325.182478087278+59.5447102862039i</v>
      </c>
      <c r="AO39" s="24">
        <f t="shared" si="6"/>
        <v>330.58919610001021</v>
      </c>
      <c r="AP39" s="24">
        <f t="shared" si="7"/>
        <v>2.9604873319544347</v>
      </c>
      <c r="AQ39" s="24">
        <f t="shared" si="8"/>
        <v>169.62342942293466</v>
      </c>
      <c r="AR39" s="24">
        <f t="shared" si="9"/>
        <v>50.385773128034756</v>
      </c>
      <c r="AS39" s="24">
        <f t="shared" si="25"/>
        <v>68.645808161587837</v>
      </c>
      <c r="AT39" s="24">
        <f t="shared" si="26"/>
        <v>169.45555296060346</v>
      </c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</row>
    <row r="40" spans="1:71">
      <c r="A40" s="11" t="s">
        <v>24</v>
      </c>
      <c r="B40" s="12"/>
      <c r="D40" s="13"/>
      <c r="Y40" s="24">
        <v>38</v>
      </c>
      <c r="Z40" s="24">
        <f t="shared" si="1"/>
        <v>10.352859241875105</v>
      </c>
      <c r="AA40" s="24" t="str">
        <f t="shared" si="10"/>
        <v>65.0489330758481i</v>
      </c>
      <c r="AB40" s="24">
        <f t="shared" si="2"/>
        <v>9.4210346008907155</v>
      </c>
      <c r="AD40" s="24" t="str">
        <f t="shared" si="3"/>
        <v>0.999990367539757-0.00309905547276311i</v>
      </c>
      <c r="AE40" s="24" t="str">
        <f t="shared" si="4"/>
        <v>0.999999999825172-0.0000167931508950564i</v>
      </c>
      <c r="AF40" s="24" t="str">
        <f t="shared" si="19"/>
        <v>8.18463658614269-0.0255023342955942i</v>
      </c>
      <c r="AG40" s="24">
        <f t="shared" si="5"/>
        <v>8.1846763171355761</v>
      </c>
      <c r="AH40" s="24">
        <f t="shared" si="20"/>
        <v>-3.1158685539869756E-3</v>
      </c>
      <c r="AI40" s="24">
        <f t="shared" si="0"/>
        <v>-0.17852611766098442</v>
      </c>
      <c r="AJ40" s="24">
        <f t="shared" si="21"/>
        <v>18.260030177191254</v>
      </c>
      <c r="AL40" s="24" t="str">
        <f t="shared" si="22"/>
        <v>0.962919558276084-0.188958944126696i</v>
      </c>
      <c r="AM40" s="24" t="str">
        <f t="shared" si="23"/>
        <v>1.00000003019461+0.00145827417258749i</v>
      </c>
      <c r="AN40" s="24" t="str">
        <f t="shared" si="24"/>
        <v>-323.797515585609+63.0503199136162i</v>
      </c>
      <c r="AO40" s="24">
        <f t="shared" si="6"/>
        <v>329.87902925257629</v>
      </c>
      <c r="AP40" s="24">
        <f t="shared" si="7"/>
        <v>2.9492777417422564</v>
      </c>
      <c r="AQ40" s="24">
        <f t="shared" si="8"/>
        <v>168.98116721370567</v>
      </c>
      <c r="AR40" s="24">
        <f t="shared" si="9"/>
        <v>50.367094157565418</v>
      </c>
      <c r="AS40" s="24">
        <f t="shared" si="25"/>
        <v>68.627124334756672</v>
      </c>
      <c r="AT40" s="24">
        <f t="shared" si="26"/>
        <v>168.80264109604468</v>
      </c>
    </row>
    <row r="41" spans="1:71" s="1" customFormat="1">
      <c r="A41" s="8" t="s">
        <v>8</v>
      </c>
      <c r="B41" s="4">
        <v>70000</v>
      </c>
      <c r="C41" s="19" t="s">
        <v>102</v>
      </c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4"/>
      <c r="S41" s="24"/>
      <c r="T41" s="24"/>
      <c r="U41" s="24"/>
      <c r="V41" s="24"/>
      <c r="W41" s="24"/>
      <c r="X41" s="24"/>
      <c r="Y41" s="24">
        <v>39</v>
      </c>
      <c r="Z41" s="24">
        <f t="shared" si="1"/>
        <v>11.009622365740512</v>
      </c>
      <c r="AA41" s="24" t="str">
        <f t="shared" si="10"/>
        <v>69.1754974860165i</v>
      </c>
      <c r="AB41" s="24">
        <f t="shared" si="2"/>
        <v>9.4210346008907155</v>
      </c>
      <c r="AC41" s="24"/>
      <c r="AD41" s="24" t="str">
        <f t="shared" si="3"/>
        <v>0.999989106663917-0.00329564871899323i</v>
      </c>
      <c r="AE41" s="24" t="str">
        <f t="shared" si="4"/>
        <v>0.999999999802287-0.0000178584722697673i</v>
      </c>
      <c r="AF41" s="24" t="str">
        <f t="shared" si="19"/>
        <v>8.1846262102878-0.0271201132380627i</v>
      </c>
      <c r="AG41" s="24">
        <f t="shared" si="5"/>
        <v>8.1846711419990523</v>
      </c>
      <c r="AH41" s="24">
        <f t="shared" si="20"/>
        <v>-3.3135311602756363E-3</v>
      </c>
      <c r="AI41" s="24">
        <f t="shared" si="0"/>
        <v>-0.18985135076888071</v>
      </c>
      <c r="AJ41" s="24">
        <f t="shared" si="21"/>
        <v>18.260024685137914</v>
      </c>
      <c r="AK41" s="24"/>
      <c r="AL41" s="24" t="str">
        <f t="shared" si="22"/>
        <v>0.958268284993255-0.199975445916094i</v>
      </c>
      <c r="AM41" s="24" t="str">
        <f t="shared" si="23"/>
        <v>1.00000003414709+0.00155078394962242i</v>
      </c>
      <c r="AN41" s="24" t="str">
        <f t="shared" si="24"/>
        <v>-322.245516926582+66.7262190120895i</v>
      </c>
      <c r="AO41" s="24">
        <f t="shared" si="6"/>
        <v>329.08139036252021</v>
      </c>
      <c r="AP41" s="24">
        <f t="shared" si="7"/>
        <v>2.9374118035982479</v>
      </c>
      <c r="AQ41" s="24">
        <f t="shared" si="8"/>
        <v>168.30129903809069</v>
      </c>
      <c r="AR41" s="24">
        <f t="shared" si="9"/>
        <v>50.346066470476671</v>
      </c>
      <c r="AS41" s="24">
        <f t="shared" si="25"/>
        <v>68.606091155614592</v>
      </c>
      <c r="AT41" s="24">
        <f t="shared" si="26"/>
        <v>168.1114476873218</v>
      </c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</row>
    <row r="42" spans="1:71">
      <c r="A42" s="8" t="s">
        <v>16</v>
      </c>
      <c r="B42" s="16">
        <v>1400000</v>
      </c>
      <c r="C42" s="37" t="s">
        <v>56</v>
      </c>
      <c r="D42" s="13"/>
      <c r="Y42" s="24">
        <v>40</v>
      </c>
      <c r="Z42" s="24">
        <f t="shared" si="1"/>
        <v>11.708049129648925</v>
      </c>
      <c r="AA42" s="24" t="str">
        <f t="shared" si="10"/>
        <v>73.5638422671469i</v>
      </c>
      <c r="AB42" s="24">
        <f t="shared" si="2"/>
        <v>9.4210346008907155</v>
      </c>
      <c r="AD42" s="24" t="str">
        <f t="shared" si="3"/>
        <v>0.999987680743196-0.00350471257341154i</v>
      </c>
      <c r="AE42" s="24" t="str">
        <f t="shared" si="4"/>
        <v>0.999999999776406-0.0000189913753412151i</v>
      </c>
      <c r="AF42" s="24" t="str">
        <f t="shared" si="19"/>
        <v>8.1846144762645-0.0288405136474963i</v>
      </c>
      <c r="AG42" s="24">
        <f t="shared" si="5"/>
        <v>8.1846652894486684</v>
      </c>
      <c r="AH42" s="24">
        <f t="shared" si="20"/>
        <v>-3.5237327748427975E-3</v>
      </c>
      <c r="AI42" s="24">
        <f t="shared" si="0"/>
        <v>-0.20189501613041469</v>
      </c>
      <c r="AJ42" s="24">
        <f t="shared" si="21"/>
        <v>18.260018474182822</v>
      </c>
      <c r="AL42" s="24" t="str">
        <f t="shared" si="22"/>
        <v>0.953062008441712-0.211506067304847i</v>
      </c>
      <c r="AM42" s="24" t="str">
        <f t="shared" si="23"/>
        <v>1.00000003861695+0.00164916234792914i</v>
      </c>
      <c r="AN42" s="24" t="str">
        <f t="shared" si="24"/>
        <v>-320.508329336174+70.5736655231796i</v>
      </c>
      <c r="AO42" s="24">
        <f t="shared" si="6"/>
        <v>328.18627551931996</v>
      </c>
      <c r="AP42" s="24">
        <f t="shared" si="7"/>
        <v>2.9248583405373161</v>
      </c>
      <c r="AQ42" s="24">
        <f t="shared" si="8"/>
        <v>167.58203858642591</v>
      </c>
      <c r="AR42" s="24">
        <f t="shared" si="9"/>
        <v>50.322408305160771</v>
      </c>
      <c r="AS42" s="24">
        <f t="shared" si="25"/>
        <v>68.582426779343592</v>
      </c>
      <c r="AT42" s="24">
        <f t="shared" si="26"/>
        <v>167.3801435702955</v>
      </c>
    </row>
    <row r="43" spans="1:71" s="1" customFormat="1">
      <c r="A43" s="8" t="s">
        <v>28</v>
      </c>
      <c r="B43" s="4">
        <v>7000</v>
      </c>
      <c r="C43" s="19" t="s">
        <v>102</v>
      </c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4"/>
      <c r="S43" s="24"/>
      <c r="T43" s="24"/>
      <c r="U43" s="24"/>
      <c r="V43" s="24"/>
      <c r="W43" s="24"/>
      <c r="X43" s="24"/>
      <c r="Y43" s="24">
        <v>41</v>
      </c>
      <c r="Z43" s="24">
        <f t="shared" si="1"/>
        <v>12.4507825853165</v>
      </c>
      <c r="AA43" s="24" t="str">
        <f t="shared" si="10"/>
        <v>78.2305742029481i</v>
      </c>
      <c r="AB43" s="24">
        <f t="shared" si="2"/>
        <v>9.4210346008907155</v>
      </c>
      <c r="AC43" s="24"/>
      <c r="AD43" s="24" t="str">
        <f t="shared" si="3"/>
        <v>0.999986068174284-0.00372703797344816i</v>
      </c>
      <c r="AE43" s="24" t="str">
        <f t="shared" si="4"/>
        <v>0.999999999747138-0.0000201961473468828i</v>
      </c>
      <c r="AF43" s="24" t="str">
        <f t="shared" si="19"/>
        <v>8.18460120629731-0.0306700442007848i</v>
      </c>
      <c r="AG43" s="24">
        <f t="shared" si="5"/>
        <v>8.1846586708142368</v>
      </c>
      <c r="AH43" s="24">
        <f t="shared" si="20"/>
        <v>-3.7472687881921736E-3</v>
      </c>
      <c r="AI43" s="24">
        <f t="shared" si="0"/>
        <v>-0.21470268626451397</v>
      </c>
      <c r="AJ43" s="24">
        <f t="shared" si="21"/>
        <v>18.260011450224059</v>
      </c>
      <c r="AK43" s="24"/>
      <c r="AL43" s="24" t="str">
        <f t="shared" si="22"/>
        <v>0.947241977663041-0.223550024415234i</v>
      </c>
      <c r="AM43" s="24" t="str">
        <f t="shared" si="23"/>
        <v>1.00000004367191+0.00175378166021566i</v>
      </c>
      <c r="AN43" s="24" t="str">
        <f t="shared" si="24"/>
        <v>-318.566349277215+74.5923979022145i</v>
      </c>
      <c r="AO43" s="24">
        <f t="shared" si="6"/>
        <v>327.18273902609053</v>
      </c>
      <c r="AP43" s="24">
        <f t="shared" si="7"/>
        <v>2.9115861013786444</v>
      </c>
      <c r="AQ43" s="24">
        <f t="shared" si="8"/>
        <v>166.82159529794578</v>
      </c>
      <c r="AR43" s="24">
        <f t="shared" si="9"/>
        <v>50.295807676057976</v>
      </c>
      <c r="AS43" s="24">
        <f t="shared" si="25"/>
        <v>68.555819126282032</v>
      </c>
      <c r="AT43" s="24">
        <f t="shared" si="26"/>
        <v>166.60689261168127</v>
      </c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</row>
    <row r="44" spans="1:71" s="1" customFormat="1">
      <c r="A44" s="8" t="s">
        <v>29</v>
      </c>
      <c r="B44" s="4">
        <v>500000</v>
      </c>
      <c r="C44" s="19" t="s">
        <v>102</v>
      </c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4"/>
      <c r="S44" s="24"/>
      <c r="T44" s="24"/>
      <c r="U44" s="24"/>
      <c r="V44" s="24"/>
      <c r="W44" s="24"/>
      <c r="X44" s="24"/>
      <c r="Y44" s="24">
        <v>42</v>
      </c>
      <c r="Z44" s="24">
        <f t="shared" si="1"/>
        <v>13.240633453975693</v>
      </c>
      <c r="AA44" s="24" t="str">
        <f t="shared" si="10"/>
        <v>83.1933535757706i</v>
      </c>
      <c r="AB44" s="24">
        <f t="shared" si="2"/>
        <v>9.4210346008907155</v>
      </c>
      <c r="AC44" s="24"/>
      <c r="AD44" s="24" t="str">
        <f t="shared" si="3"/>
        <v>0.99998424452629-0.00396346599722584i</v>
      </c>
      <c r="AE44" s="24" t="str">
        <f t="shared" si="4"/>
        <v>0.999999999714038-0.0000214773474973772i</v>
      </c>
      <c r="AF44" s="24" t="str">
        <f t="shared" si="19"/>
        <v>8.18458619934234-0.0326156261859229i</v>
      </c>
      <c r="AG44" s="24">
        <f t="shared" si="5"/>
        <v>8.1846511858195026</v>
      </c>
      <c r="AH44" s="24">
        <f t="shared" si="20"/>
        <v>-3.9849850370969218E-3</v>
      </c>
      <c r="AI44" s="24">
        <f t="shared" si="0"/>
        <v>-0.2283228240484374</v>
      </c>
      <c r="AJ44" s="24">
        <f t="shared" si="21"/>
        <v>18.260003506842356</v>
      </c>
      <c r="AK44" s="24"/>
      <c r="AL44" s="24" t="str">
        <f t="shared" si="22"/>
        <v>0.940745164979701-0.236101036734311i</v>
      </c>
      <c r="AM44" s="24" t="str">
        <f t="shared" si="23"/>
        <v>1.00000004938856+0.00186503779663785i</v>
      </c>
      <c r="AN44" s="24" t="str">
        <f t="shared" si="24"/>
        <v>-316.398546192033+78.7803205332743i</v>
      </c>
      <c r="AO44" s="24">
        <f t="shared" si="6"/>
        <v>326.05885808509703</v>
      </c>
      <c r="AP44" s="24">
        <f t="shared" si="7"/>
        <v>2.8975640707192789</v>
      </c>
      <c r="AQ44" s="24">
        <f t="shared" si="8"/>
        <v>166.01819212096109</v>
      </c>
      <c r="AR44" s="24">
        <f t="shared" si="9"/>
        <v>50.265920064813514</v>
      </c>
      <c r="AS44" s="24">
        <f t="shared" si="25"/>
        <v>68.525923571655866</v>
      </c>
      <c r="AT44" s="24">
        <f t="shared" si="26"/>
        <v>165.78986929691266</v>
      </c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</row>
    <row r="45" spans="1:71">
      <c r="A45" s="8" t="s">
        <v>47</v>
      </c>
      <c r="B45" s="14">
        <f>INDEX(AG2:AG202,MATCH(B41,Z2:Z202,1))</f>
        <v>0.39837163219132127</v>
      </c>
      <c r="C45" s="19"/>
      <c r="D45" s="13"/>
      <c r="Y45" s="24">
        <v>43</v>
      </c>
      <c r="Z45" s="24">
        <f t="shared" si="1"/>
        <v>14.080590762968805</v>
      </c>
      <c r="AA45" s="24" t="str">
        <f t="shared" si="10"/>
        <v>88.4709609982942i</v>
      </c>
      <c r="AB45" s="24">
        <f t="shared" si="2"/>
        <v>9.4210346008907155</v>
      </c>
      <c r="AD45" s="24" t="str">
        <f t="shared" si="3"/>
        <v>0.999982182170704-0.00421489103735135i</v>
      </c>
      <c r="AE45" s="24" t="str">
        <f t="shared" si="4"/>
        <v>0.999999999676605-0.0000228398242298185i</v>
      </c>
      <c r="AF45" s="24" t="str">
        <f t="shared" si="19"/>
        <v>8.18456922804222-0.0346846196193509i</v>
      </c>
      <c r="AG45" s="24">
        <f t="shared" si="5"/>
        <v>8.1846427210632573</v>
      </c>
      <c r="AH45" s="24">
        <f t="shared" si="20"/>
        <v>-4.2377810024532524E-3</v>
      </c>
      <c r="AI45" s="24">
        <f t="shared" si="0"/>
        <v>-0.24280696594129053</v>
      </c>
      <c r="AJ45" s="24">
        <f t="shared" si="21"/>
        <v>18.259994523689024</v>
      </c>
      <c r="AL45" s="24" t="str">
        <f t="shared" si="22"/>
        <v>0.933504473551967-0.249146285162817i</v>
      </c>
      <c r="AM45" s="24" t="str">
        <f t="shared" si="23"/>
        <v>1.00000005585353+0.00198335178303956i</v>
      </c>
      <c r="AN45" s="24" t="str">
        <f t="shared" si="24"/>
        <v>-313.982531758348+83.1331560595631i</v>
      </c>
      <c r="AO45" s="24">
        <f t="shared" si="6"/>
        <v>324.80171164235833</v>
      </c>
      <c r="AP45" s="24">
        <f t="shared" si="7"/>
        <v>2.8827618400662995</v>
      </c>
      <c r="AQ45" s="24">
        <f t="shared" si="8"/>
        <v>165.17008677716618</v>
      </c>
      <c r="AR45" s="24">
        <f t="shared" si="9"/>
        <v>50.232366184466038</v>
      </c>
      <c r="AS45" s="24">
        <f t="shared" si="25"/>
        <v>68.492360708155061</v>
      </c>
      <c r="AT45" s="24">
        <f t="shared" si="26"/>
        <v>164.92727981122488</v>
      </c>
    </row>
    <row r="46" spans="1:71">
      <c r="A46" s="8" t="s">
        <v>26</v>
      </c>
      <c r="B46" s="14">
        <f>B44/(B45*(B44-B43)*B13)*(B5/0.8)*SQRT(1+(B41/B44)^2)/SQRT(1+(B43/B41)^2)</f>
        <v>10551.467350914834</v>
      </c>
      <c r="C46" s="37" t="s">
        <v>56</v>
      </c>
      <c r="D46" s="6">
        <f>B46</f>
        <v>10551.467350914834</v>
      </c>
      <c r="E46" s="37" t="s">
        <v>56</v>
      </c>
      <c r="Y46" s="24">
        <v>44</v>
      </c>
      <c r="Z46" s="24">
        <f t="shared" si="1"/>
        <v>14.973833157104059</v>
      </c>
      <c r="AA46" s="24" t="str">
        <f t="shared" si="10"/>
        <v>94.0833684848747i</v>
      </c>
      <c r="AB46" s="24">
        <f t="shared" si="2"/>
        <v>9.4210346008907155</v>
      </c>
      <c r="AD46" s="24" t="str">
        <f t="shared" si="3"/>
        <v>0.999979849862929-0.00448226417462171i</v>
      </c>
      <c r="AE46" s="24" t="str">
        <f t="shared" si="4"/>
        <v>0.999999999634273-0.0000242887335557486i</v>
      </c>
      <c r="AF46" s="24" t="str">
        <f t="shared" si="19"/>
        <v>8.18455003528251-0.0368848510084086i</v>
      </c>
      <c r="AG46" s="24">
        <f t="shared" si="5"/>
        <v>8.1846331483015682</v>
      </c>
      <c r="AH46" s="24">
        <f t="shared" si="20"/>
        <v>-4.5066132095230799E-3</v>
      </c>
      <c r="AI46" s="24">
        <f t="shared" si="0"/>
        <v>-0.25820991680357863</v>
      </c>
      <c r="AJ46" s="24">
        <f t="shared" si="21"/>
        <v>18.259984364662781</v>
      </c>
      <c r="AL46" s="24" t="str">
        <f t="shared" si="22"/>
        <v>0.925449116101727-0.262665280553519i</v>
      </c>
      <c r="AM46" s="24" t="str">
        <f t="shared" si="23"/>
        <v>1.00000006316476+0.00210917135423759i</v>
      </c>
      <c r="AN46" s="24" t="str">
        <f t="shared" si="24"/>
        <v>-311.294686258709+87.6440678466322i</v>
      </c>
      <c r="AO46" s="24">
        <f t="shared" si="6"/>
        <v>323.39737834684615</v>
      </c>
      <c r="AP46" s="24">
        <f t="shared" si="7"/>
        <v>2.867150045972763</v>
      </c>
      <c r="AQ46" s="24">
        <f t="shared" si="8"/>
        <v>164.27559686497929</v>
      </c>
      <c r="AR46" s="24">
        <f t="shared" si="9"/>
        <v>50.194729898661009</v>
      </c>
      <c r="AS46" s="24">
        <f t="shared" si="25"/>
        <v>68.454714263323794</v>
      </c>
      <c r="AT46" s="24">
        <f t="shared" si="26"/>
        <v>164.01738694817573</v>
      </c>
    </row>
    <row r="47" spans="1:71">
      <c r="A47" s="8" t="s">
        <v>25</v>
      </c>
      <c r="B47" s="14">
        <f>1/(B46*B43*2*PI())*1000000000000</f>
        <v>2154.8112395692565</v>
      </c>
      <c r="C47" s="19" t="s">
        <v>110</v>
      </c>
      <c r="D47" s="41">
        <f>B47</f>
        <v>2154.8112395692565</v>
      </c>
      <c r="E47" s="13" t="s">
        <v>110</v>
      </c>
      <c r="Y47" s="24">
        <v>45</v>
      </c>
      <c r="Z47" s="24">
        <f t="shared" si="1"/>
        <v>15.923740927579823</v>
      </c>
      <c r="AA47" s="24" t="str">
        <f t="shared" si="10"/>
        <v>100.051815031504i</v>
      </c>
      <c r="AB47" s="24">
        <f t="shared" si="2"/>
        <v>9.4210346008907155</v>
      </c>
      <c r="AD47" s="24" t="str">
        <f t="shared" si="3"/>
        <v>0.999977212269076-0.00476659676403919i</v>
      </c>
      <c r="AE47" s="24" t="str">
        <f t="shared" si="4"/>
        <v>0.9999999995864-0.0000258295585729895i</v>
      </c>
      <c r="AF47" s="24" t="str">
        <f t="shared" si="19"/>
        <v>8.18452833029761-0.0392246428608912i</v>
      </c>
      <c r="AG47" s="24">
        <f t="shared" si="5"/>
        <v>8.1846223225052821</v>
      </c>
      <c r="AH47" s="24">
        <f t="shared" si="20"/>
        <v>-4.7924988433082783E-3</v>
      </c>
      <c r="AI47" s="24">
        <f t="shared" si="0"/>
        <v>-0.27458995704289318</v>
      </c>
      <c r="AJ47" s="24">
        <f t="shared" si="21"/>
        <v>18.259972875848039</v>
      </c>
      <c r="AL47" s="24" t="str">
        <f t="shared" si="22"/>
        <v>0.916505202923531-0.276628660730642i</v>
      </c>
      <c r="AM47" s="24" t="str">
        <f t="shared" si="23"/>
        <v>1.00000007143303+0.00224297264838129i</v>
      </c>
      <c r="AN47" s="24" t="str">
        <f t="shared" si="24"/>
        <v>-308.3103547832+92.3032585817698i</v>
      </c>
      <c r="AO47" s="24">
        <f t="shared" si="6"/>
        <v>321.8309593736372</v>
      </c>
      <c r="AP47" s="24">
        <f t="shared" si="7"/>
        <v>2.8507008801838816</v>
      </c>
      <c r="AQ47" s="24">
        <f t="shared" si="8"/>
        <v>163.33312908876539</v>
      </c>
      <c r="AR47" s="24">
        <f t="shared" si="9"/>
        <v>50.152556397398264</v>
      </c>
      <c r="AS47" s="24">
        <f t="shared" si="25"/>
        <v>68.412529273246307</v>
      </c>
      <c r="AT47" s="24">
        <f t="shared" si="26"/>
        <v>163.05853913172248</v>
      </c>
    </row>
    <row r="48" spans="1:71">
      <c r="A48" s="8" t="s">
        <v>27</v>
      </c>
      <c r="B48" s="14">
        <f>1/(B46*B44*2*PI())*1000000000000</f>
        <v>30.167357353969592</v>
      </c>
      <c r="C48" s="19" t="s">
        <v>110</v>
      </c>
      <c r="D48" s="6">
        <f>B48</f>
        <v>30.167357353969592</v>
      </c>
      <c r="E48" s="13" t="s">
        <v>110</v>
      </c>
      <c r="Y48" s="24">
        <v>46</v>
      </c>
      <c r="Z48" s="24">
        <f t="shared" si="1"/>
        <v>16.933908803997952</v>
      </c>
      <c r="AA48" s="24" t="str">
        <f t="shared" si="10"/>
        <v>106.398886990399i</v>
      </c>
      <c r="AB48" s="24">
        <f t="shared" si="2"/>
        <v>9.4210346008907155</v>
      </c>
      <c r="AD48" s="24" t="str">
        <f t="shared" si="3"/>
        <v>0.999974229430846-0.0050689642462563i</v>
      </c>
      <c r="AE48" s="24" t="str">
        <f t="shared" si="4"/>
        <v>0.999999999532259-0.0000274681302152936i</v>
      </c>
      <c r="AF48" s="24" t="str">
        <f t="shared" si="19"/>
        <v>8.18450378426726-0.0417128450496844i</v>
      </c>
      <c r="AG48" s="24">
        <f t="shared" si="5"/>
        <v>8.1846100796633703</v>
      </c>
      <c r="AH48" s="24">
        <f t="shared" si="20"/>
        <v>-5.0965195925879317E-3</v>
      </c>
      <c r="AI48" s="24">
        <f t="shared" si="0"/>
        <v>-0.29200906286102229</v>
      </c>
      <c r="AJ48" s="24">
        <f t="shared" si="21"/>
        <v>18.259959883183374</v>
      </c>
      <c r="AL48" s="24" t="str">
        <f t="shared" si="22"/>
        <v>0.906596579289407-0.290996944503121i</v>
      </c>
      <c r="AM48" s="24" t="str">
        <f t="shared" si="23"/>
        <v>1.00000008078362+0.00238526200879861i</v>
      </c>
      <c r="AN48" s="24" t="str">
        <f t="shared" si="24"/>
        <v>-305.004126647799+97.0975545234414i</v>
      </c>
      <c r="AO48" s="24">
        <f t="shared" si="6"/>
        <v>320.08663259595721</v>
      </c>
      <c r="AP48" s="24">
        <f t="shared" si="7"/>
        <v>2.8333886753815274</v>
      </c>
      <c r="AQ48" s="24">
        <f t="shared" si="8"/>
        <v>162.34121281952437</v>
      </c>
      <c r="AR48" s="24">
        <f t="shared" si="9"/>
        <v>50.105350751796529</v>
      </c>
      <c r="AS48" s="24">
        <f t="shared" si="25"/>
        <v>68.365310634979906</v>
      </c>
      <c r="AT48" s="24">
        <f t="shared" si="26"/>
        <v>162.04920375666336</v>
      </c>
    </row>
    <row r="49" spans="1:46" ht="34.5" customHeight="1">
      <c r="A49" s="50" t="s">
        <v>111</v>
      </c>
      <c r="B49" s="51"/>
      <c r="C49" s="51"/>
      <c r="D49" s="51"/>
      <c r="Y49" s="24">
        <v>47</v>
      </c>
      <c r="Z49" s="24">
        <f t="shared" si="1"/>
        <v>18.008159557874837</v>
      </c>
      <c r="AA49" s="24" t="str">
        <f t="shared" si="10"/>
        <v>113.148603543385i</v>
      </c>
      <c r="AB49" s="24">
        <f t="shared" si="2"/>
        <v>9.4210346008907155</v>
      </c>
      <c r="AD49" s="24" t="str">
        <f t="shared" si="3"/>
        <v>0.99997085616042-0.00539051019833522i</v>
      </c>
      <c r="AE49" s="24" t="str">
        <f t="shared" si="4"/>
        <v>0.999999999471032-0.0000292106493183068i</v>
      </c>
      <c r="AF49" s="24" t="str">
        <f t="shared" si="19"/>
        <v>8.18447602533706-0.0443588681467341i</v>
      </c>
      <c r="AG49" s="24">
        <f t="shared" si="5"/>
        <v>8.1845962342989402</v>
      </c>
      <c r="AH49" s="24">
        <f t="shared" si="20"/>
        <v>-5.4198257369855668E-3</v>
      </c>
      <c r="AI49" s="24">
        <f t="shared" si="0"/>
        <v>-0.31053314042565394</v>
      </c>
      <c r="AJ49" s="24">
        <f t="shared" si="21"/>
        <v>18.25994518982499</v>
      </c>
      <c r="AL49" s="24" t="str">
        <f t="shared" si="22"/>
        <v>0.895645952142009-0.305719283908691i</v>
      </c>
      <c r="AM49" s="24" t="str">
        <f t="shared" si="23"/>
        <v>1.0000000913582+0.00253657790014741i</v>
      </c>
      <c r="AN49" s="24" t="str">
        <f t="shared" si="24"/>
        <v>-301.350211340085+102.009989160415i</v>
      </c>
      <c r="AO49" s="24">
        <f t="shared" si="6"/>
        <v>318.14774518016293</v>
      </c>
      <c r="AP49" s="24">
        <f t="shared" si="7"/>
        <v>2.8151905679814861</v>
      </c>
      <c r="AQ49" s="24">
        <f t="shared" si="8"/>
        <v>161.29853807037622</v>
      </c>
      <c r="AR49" s="24">
        <f t="shared" si="9"/>
        <v>50.052576991848241</v>
      </c>
      <c r="AS49" s="24">
        <f t="shared" si="25"/>
        <v>68.312522181673231</v>
      </c>
      <c r="AT49" s="24">
        <f t="shared" si="26"/>
        <v>160.98800492995056</v>
      </c>
    </row>
    <row r="50" spans="1:46">
      <c r="C50" s="22"/>
      <c r="D50" s="19"/>
      <c r="Y50" s="24">
        <v>48</v>
      </c>
      <c r="Z50" s="24">
        <f t="shared" si="1"/>
        <v>19.150558469130036</v>
      </c>
      <c r="AA50" s="24" t="str">
        <f t="shared" si="10"/>
        <v>120.326507597521i</v>
      </c>
      <c r="AB50" s="24">
        <f t="shared" si="2"/>
        <v>9.4210346008907155</v>
      </c>
      <c r="AD50" s="24" t="str">
        <f t="shared" si="3"/>
        <v>0.999967041356198-0.00573245063850075i</v>
      </c>
      <c r="AE50" s="24" t="str">
        <f t="shared" si="4"/>
        <v>0.99999999940179-0.0000310637100853472i</v>
      </c>
      <c r="AF50" s="24" t="str">
        <f t="shared" si="19"/>
        <v>8.18444463298757-0.0471727188471443i</v>
      </c>
      <c r="AG50" s="24">
        <f t="shared" si="5"/>
        <v>8.1845805766601423</v>
      </c>
      <c r="AH50" s="24">
        <f t="shared" si="20"/>
        <v>-5.7636404923148647E-3</v>
      </c>
      <c r="AI50" s="24">
        <f t="shared" si="0"/>
        <v>-0.33023227484034573</v>
      </c>
      <c r="AJ50" s="24">
        <f t="shared" si="21"/>
        <v>18.259928573165009</v>
      </c>
      <c r="AL50" s="24" t="str">
        <f t="shared" si="22"/>
        <v>0.883576342559357-0.32073227063828i</v>
      </c>
      <c r="AM50" s="24" t="str">
        <f t="shared" si="23"/>
        <v>1.00000010331699+0.00269749294612315i</v>
      </c>
      <c r="AN50" s="24" t="str">
        <f t="shared" si="24"/>
        <v>-297.322923165746+107.01940494933i</v>
      </c>
      <c r="AO50" s="24">
        <f t="shared" si="6"/>
        <v>315.99695200354824</v>
      </c>
      <c r="AP50" s="24">
        <f t="shared" si="7"/>
        <v>2.7960872364587046</v>
      </c>
      <c r="AQ50" s="24">
        <f t="shared" si="8"/>
        <v>160.20399779948161</v>
      </c>
      <c r="AR50" s="24">
        <f t="shared" si="9"/>
        <v>49.993657871708322</v>
      </c>
      <c r="AS50" s="24">
        <f t="shared" si="25"/>
        <v>68.253586444873335</v>
      </c>
      <c r="AT50" s="24">
        <f t="shared" si="26"/>
        <v>159.87376552464127</v>
      </c>
    </row>
    <row r="51" spans="1:46">
      <c r="C51" s="22"/>
      <c r="D51" s="19"/>
      <c r="Y51" s="24">
        <v>49</v>
      </c>
      <c r="Z51" s="24">
        <f t="shared" si="1"/>
        <v>20.365428710297824</v>
      </c>
      <c r="AA51" s="24" t="str">
        <f t="shared" si="10"/>
        <v>127.959762446957i</v>
      </c>
      <c r="AB51" s="24">
        <f t="shared" si="2"/>
        <v>9.4210346008907155</v>
      </c>
      <c r="AD51" s="24" t="str">
        <f t="shared" si="3"/>
        <v>0.999962727229051-0.00609607860039784i</v>
      </c>
      <c r="AE51" s="24" t="str">
        <f t="shared" si="4"/>
        <v>0.999999999323484-0.0000330343250418051i</v>
      </c>
      <c r="AF51" s="24" t="str">
        <f t="shared" si="19"/>
        <v>8.18440913166712-0.0501650376110479i</v>
      </c>
      <c r="AG51" s="24">
        <f t="shared" si="5"/>
        <v>8.1845628695437771</v>
      </c>
      <c r="AH51" s="24">
        <f t="shared" si="20"/>
        <v>-6.1292646303883541E-3</v>
      </c>
      <c r="AI51" s="24">
        <f t="shared" si="0"/>
        <v>-0.35118099484006515</v>
      </c>
      <c r="AJ51" s="24">
        <f t="shared" si="21"/>
        <v>18.259909781459868</v>
      </c>
      <c r="AL51" s="24" t="str">
        <f t="shared" si="22"/>
        <v>0.870312892738876-0.335958868719619i</v>
      </c>
      <c r="AM51" s="24" t="str">
        <f t="shared" si="23"/>
        <v>1.00000011684119+0.00286861609643434i</v>
      </c>
      <c r="AN51" s="24" t="str">
        <f t="shared" si="24"/>
        <v>-292.897284188169+112.100097181414i</v>
      </c>
      <c r="AO51" s="24">
        <f t="shared" si="6"/>
        <v>313.61640721251734</v>
      </c>
      <c r="AP51" s="24">
        <f t="shared" si="7"/>
        <v>2.7760637097438154</v>
      </c>
      <c r="AQ51" s="24">
        <f t="shared" si="8"/>
        <v>159.05673422775101</v>
      </c>
      <c r="AR51" s="24">
        <f t="shared" si="9"/>
        <v>49.92797550470371</v>
      </c>
      <c r="AS51" s="24">
        <f t="shared" si="25"/>
        <v>68.187885286163578</v>
      </c>
      <c r="AT51" s="24">
        <f t="shared" si="26"/>
        <v>158.70555323291094</v>
      </c>
    </row>
    <row r="52" spans="1:46">
      <c r="C52" s="22"/>
      <c r="D52" s="19"/>
      <c r="Y52" s="24">
        <v>50</v>
      </c>
      <c r="Z52" s="24">
        <f t="shared" si="1"/>
        <v>21.657367706679931</v>
      </c>
      <c r="AA52" s="24" t="str">
        <f t="shared" si="10"/>
        <v>136.077254566797i</v>
      </c>
      <c r="AB52" s="24">
        <f t="shared" si="2"/>
        <v>9.4210346008907155</v>
      </c>
      <c r="AD52" s="24" t="str">
        <f t="shared" si="3"/>
        <v>0.999957848427389-0.00648276899322359i</v>
      </c>
      <c r="AE52" s="24" t="str">
        <f t="shared" si="4"/>
        <v>0.999999999234928-0.0000351299515725922i</v>
      </c>
      <c r="AF52" s="24" t="str">
        <f t="shared" si="19"/>
        <v>8.18436898359189-0.0533471386579561i</v>
      </c>
      <c r="AG52" s="24">
        <f t="shared" si="5"/>
        <v>8.1845428447032962</v>
      </c>
      <c r="AH52" s="24">
        <f t="shared" si="20"/>
        <v>-6.5180813904558727E-3</v>
      </c>
      <c r="AI52" s="24">
        <f t="shared" si="0"/>
        <v>-0.37345855419588475</v>
      </c>
      <c r="AJ52" s="24">
        <f t="shared" si="21"/>
        <v>18.259888530017363</v>
      </c>
      <c r="AL52" s="24" t="str">
        <f t="shared" si="22"/>
        <v>0.855785043042251-0.351307562041331i</v>
      </c>
      <c r="AM52" s="24" t="str">
        <f t="shared" si="23"/>
        <v>1.00000013213571+0.00305059493124607i</v>
      </c>
      <c r="AN52" s="24" t="str">
        <f t="shared" si="24"/>
        <v>-288.04975064688+117.221529535396i</v>
      </c>
      <c r="AO52" s="24">
        <f t="shared" si="6"/>
        <v>310.9880155799375</v>
      </c>
      <c r="AP52" s="24">
        <f t="shared" si="7"/>
        <v>2.7551102352924999</v>
      </c>
      <c r="AQ52" s="24">
        <f t="shared" si="8"/>
        <v>157.85618857555542</v>
      </c>
      <c r="AR52" s="24">
        <f t="shared" si="9"/>
        <v>49.854873062351039</v>
      </c>
      <c r="AS52" s="24">
        <f t="shared" si="25"/>
        <v>68.11476159236841</v>
      </c>
      <c r="AT52" s="24">
        <f t="shared" si="26"/>
        <v>157.48273002135954</v>
      </c>
    </row>
    <row r="53" spans="1:46">
      <c r="C53" s="22"/>
      <c r="D53" s="39"/>
      <c r="Y53" s="24">
        <v>51</v>
      </c>
      <c r="Z53" s="24">
        <f t="shared" si="1"/>
        <v>23.031264534351347</v>
      </c>
      <c r="AA53" s="24" t="str">
        <f t="shared" si="10"/>
        <v>144.709702928003i</v>
      </c>
      <c r="AB53" s="24">
        <f t="shared" si="2"/>
        <v>9.4210346008907155</v>
      </c>
      <c r="AD53" s="24" t="str">
        <f t="shared" si="3"/>
        <v>0.999952331047831-0.00689398376499905i</v>
      </c>
      <c r="AE53" s="24" t="str">
        <f t="shared" si="4"/>
        <v>0.99999999913478-0.0000373585201430744i</v>
      </c>
      <c r="AF53" s="24" t="str">
        <f t="shared" si="19"/>
        <v>8.18432358060467-0.0567310524556659i</v>
      </c>
      <c r="AG53" s="24">
        <f t="shared" si="5"/>
        <v>8.184520198787121</v>
      </c>
      <c r="AH53" s="24">
        <f t="shared" si="20"/>
        <v>-6.9315617004836747E-3</v>
      </c>
      <c r="AI53" s="24">
        <f t="shared" si="0"/>
        <v>-0.39714923087223858</v>
      </c>
      <c r="AJ53" s="24">
        <f t="shared" si="21"/>
        <v>18.259864496885093</v>
      </c>
      <c r="AL53" s="24" t="str">
        <f t="shared" si="22"/>
        <v>0.839929074966832-0.366671820559194i</v>
      </c>
      <c r="AM53" s="24" t="str">
        <f t="shared" si="23"/>
        <v>1.00000014943228+0.00324411811181256i</v>
      </c>
      <c r="AN53" s="24" t="str">
        <f t="shared" si="24"/>
        <v>-282.759061475352+122.348155965693i</v>
      </c>
      <c r="AO53" s="24">
        <f t="shared" si="6"/>
        <v>308.09374890547105</v>
      </c>
      <c r="AP53" s="24">
        <f t="shared" si="7"/>
        <v>2.7332231905001629</v>
      </c>
      <c r="AQ53" s="24">
        <f t="shared" si="8"/>
        <v>156.60215328294072</v>
      </c>
      <c r="AR53" s="24">
        <f t="shared" si="9"/>
        <v>49.773657735024244</v>
      </c>
      <c r="AS53" s="24">
        <f t="shared" si="25"/>
        <v>68.03352223190933</v>
      </c>
      <c r="AT53" s="24">
        <f t="shared" si="26"/>
        <v>156.20500405206849</v>
      </c>
    </row>
    <row r="54" spans="1:46">
      <c r="C54" s="22"/>
      <c r="D54" s="19"/>
      <c r="Y54" s="24">
        <v>52</v>
      </c>
      <c r="Z54" s="24">
        <f t="shared" si="1"/>
        <v>24.492318421858034</v>
      </c>
      <c r="AA54" s="24" t="str">
        <f t="shared" si="10"/>
        <v>153.889775246982i</v>
      </c>
      <c r="AB54" s="24">
        <f t="shared" si="2"/>
        <v>9.4210346008907155</v>
      </c>
      <c r="AD54" s="24" t="str">
        <f t="shared" si="3"/>
        <v>0.99994609151654-0.00733127738716089i</v>
      </c>
      <c r="AE54" s="24" t="str">
        <f t="shared" si="4"/>
        <v>0.999999999021523-0.0000397284643102748i</v>
      </c>
      <c r="AF54" s="24" t="str">
        <f t="shared" si="19"/>
        <v>8.18427223496921-0.06032957085333i</v>
      </c>
      <c r="AG54" s="24">
        <f t="shared" si="5"/>
        <v>8.184494588745677</v>
      </c>
      <c r="AH54" s="24">
        <f t="shared" si="20"/>
        <v>-7.371269727577145E-3</v>
      </c>
      <c r="AI54" s="24">
        <f t="shared" si="0"/>
        <v>-0.42234264504271846</v>
      </c>
      <c r="AJ54" s="24">
        <f t="shared" si="21"/>
        <v>18.259837317974632</v>
      </c>
      <c r="AL54" s="24" t="str">
        <f t="shared" si="22"/>
        <v>0.822690989157777-0.381930000806922i</v>
      </c>
      <c r="AM54" s="24" t="str">
        <f t="shared" si="23"/>
        <v>1.00000016899298+0.00344991798657222i</v>
      </c>
      <c r="AN54" s="24" t="str">
        <f t="shared" si="24"/>
        <v>-277.007198612459+127.439387505755i</v>
      </c>
      <c r="AO54" s="24">
        <f t="shared" si="6"/>
        <v>304.9160303607606</v>
      </c>
      <c r="AP54" s="24">
        <f t="shared" si="7"/>
        <v>2.7104060143615429</v>
      </c>
      <c r="AQ54" s="24">
        <f t="shared" si="8"/>
        <v>155.29482538979121</v>
      </c>
      <c r="AR54" s="24">
        <f t="shared" si="9"/>
        <v>49.68360514288085</v>
      </c>
      <c r="AS54" s="24">
        <f t="shared" si="25"/>
        <v>67.943442460855479</v>
      </c>
      <c r="AT54" s="24">
        <f t="shared" si="26"/>
        <v>154.87248274474848</v>
      </c>
    </row>
    <row r="55" spans="1:46">
      <c r="C55" s="22"/>
      <c r="D55" s="19"/>
      <c r="Y55" s="24">
        <v>53</v>
      </c>
      <c r="Z55" s="24">
        <f t="shared" si="1"/>
        <v>26.046058425622668</v>
      </c>
      <c r="AA55" s="24" t="str">
        <f t="shared" si="10"/>
        <v>163.652211609813i</v>
      </c>
      <c r="AB55" s="24">
        <f t="shared" si="2"/>
        <v>9.4210346008907155</v>
      </c>
      <c r="AD55" s="24" t="str">
        <f t="shared" si="3"/>
        <v>0.999939035324332-0.00779630267959762i</v>
      </c>
      <c r="AE55" s="24" t="str">
        <f t="shared" si="4"/>
        <v>0.99999999889344-0.0000422487526379259i</v>
      </c>
      <c r="AF55" s="24" t="str">
        <f t="shared" si="19"/>
        <v>8.18421416896137-0.064156295016067i</v>
      </c>
      <c r="AG55" s="24">
        <f t="shared" si="5"/>
        <v>8.1844656266379552</v>
      </c>
      <c r="AH55" s="24">
        <f t="shared" si="20"/>
        <v>-7.83886877800688E-3</v>
      </c>
      <c r="AI55" s="24">
        <f t="shared" si="0"/>
        <v>-0.44913409713666724</v>
      </c>
      <c r="AJ55" s="24">
        <f t="shared" si="21"/>
        <v>18.259806581548123</v>
      </c>
      <c r="AL55" s="24" t="str">
        <f t="shared" si="22"/>
        <v>0.804029653844648-0.396945801820732i</v>
      </c>
      <c r="AM55" s="24" t="str">
        <f t="shared" si="23"/>
        <v>1.00000019111417+0.00366877336256787i</v>
      </c>
      <c r="AN55" s="24" t="str">
        <f t="shared" si="24"/>
        <v>-270.780437546922+132.449744397323i</v>
      </c>
      <c r="AO55" s="24">
        <f t="shared" si="6"/>
        <v>301.43818628206134</v>
      </c>
      <c r="AP55" s="24">
        <f t="shared" si="7"/>
        <v>2.6866701289545309</v>
      </c>
      <c r="AQ55" s="24">
        <f t="shared" si="8"/>
        <v>153.93485933296324</v>
      </c>
      <c r="AR55" s="24">
        <f t="shared" si="9"/>
        <v>49.583965360441553</v>
      </c>
      <c r="AS55" s="24">
        <f t="shared" si="25"/>
        <v>67.843771941989672</v>
      </c>
      <c r="AT55" s="24">
        <f t="shared" si="26"/>
        <v>153.48572523582658</v>
      </c>
    </row>
    <row r="56" spans="1:46">
      <c r="D56" s="13"/>
      <c r="Y56" s="24">
        <v>54</v>
      </c>
      <c r="Z56" s="24">
        <f t="shared" si="1"/>
        <v>27.698364353515743</v>
      </c>
      <c r="AA56" s="24" t="str">
        <f t="shared" si="10"/>
        <v>174.033955938917i</v>
      </c>
      <c r="AB56" s="24">
        <f t="shared" si="2"/>
        <v>9.4210346008907155</v>
      </c>
      <c r="AD56" s="24" t="str">
        <f t="shared" si="3"/>
        <v>0.999931055596489-0.0082908169962106i</v>
      </c>
      <c r="AE56" s="24" t="str">
        <f t="shared" si="4"/>
        <v>0.999999998748591-0.0000449289226361425i</v>
      </c>
      <c r="AF56" s="24" t="str">
        <f t="shared" si="19"/>
        <v>8.18414850309997-0.068225686326355i</v>
      </c>
      <c r="AG56" s="24">
        <f t="shared" si="5"/>
        <v>8.1844328737590697</v>
      </c>
      <c r="AH56" s="24">
        <f t="shared" si="20"/>
        <v>-8.336127568508352E-3</v>
      </c>
      <c r="AI56" s="24">
        <f t="shared" si="0"/>
        <v>-0.47762492715818161</v>
      </c>
      <c r="AJ56" s="24">
        <f t="shared" si="21"/>
        <v>18.259771821983655</v>
      </c>
      <c r="AL56" s="24" t="str">
        <f t="shared" si="22"/>
        <v>0.783920119527107-0.411569393575024i</v>
      </c>
      <c r="AM56" s="24" t="str">
        <f t="shared" si="23"/>
        <v>1.00000021613103+0.00390151245267941i</v>
      </c>
      <c r="AN56" s="24" t="str">
        <f t="shared" si="24"/>
        <v>-264.070453334421+137.329232617686i</v>
      </c>
      <c r="AO56" s="24">
        <f t="shared" si="6"/>
        <v>297.64496040687322</v>
      </c>
      <c r="AP56" s="24">
        <f t="shared" si="7"/>
        <v>2.6620358129455202</v>
      </c>
      <c r="AQ56" s="24">
        <f t="shared" si="8"/>
        <v>152.52341699445537</v>
      </c>
      <c r="AR56" s="24">
        <f t="shared" si="9"/>
        <v>49.473970673349953</v>
      </c>
      <c r="AS56" s="24">
        <f t="shared" si="25"/>
        <v>67.733742495333615</v>
      </c>
      <c r="AT56" s="24">
        <f t="shared" si="26"/>
        <v>152.04579206729719</v>
      </c>
    </row>
    <row r="57" spans="1:46">
      <c r="D57" s="13"/>
      <c r="Y57" s="24">
        <v>55</v>
      </c>
      <c r="Z57" s="24">
        <f t="shared" si="1"/>
        <v>29.45548901577305</v>
      </c>
      <c r="AA57" s="24" t="str">
        <f t="shared" si="10"/>
        <v>185.074295799695i</v>
      </c>
      <c r="AB57" s="24">
        <f t="shared" si="2"/>
        <v>9.4210346008907155</v>
      </c>
      <c r="AD57" s="24" t="str">
        <f t="shared" si="3"/>
        <v>0.999922031475708-0.00881668879204855i</v>
      </c>
      <c r="AE57" s="24" t="str">
        <f t="shared" si="4"/>
        <v>0.999999998584782-0.0000477791168541529i</v>
      </c>
      <c r="AF57" s="24" t="str">
        <f t="shared" si="19"/>
        <v>8.18407424283997-0.0725531204254177i</v>
      </c>
      <c r="AG57" s="24">
        <f t="shared" si="5"/>
        <v>8.184395834000215</v>
      </c>
      <c r="AH57" s="24">
        <f t="shared" si="20"/>
        <v>-8.8649268917980716E-3</v>
      </c>
      <c r="AI57" s="24">
        <f t="shared" si="0"/>
        <v>-0.50792289659205647</v>
      </c>
      <c r="AJ57" s="24">
        <f t="shared" si="21"/>
        <v>18.259732512725385</v>
      </c>
      <c r="AL57" s="24" t="str">
        <f t="shared" si="22"/>
        <v>0.762356952870784-0.425639318297026i</v>
      </c>
      <c r="AM57" s="24" t="str">
        <f t="shared" si="23"/>
        <v>1.00000024442259+0.00414901600982257i</v>
      </c>
      <c r="AN57" s="24" t="str">
        <f t="shared" si="24"/>
        <v>-256.875433024559+142.023978294843i</v>
      </c>
      <c r="AO57" s="24">
        <f t="shared" si="6"/>
        <v>293.52308001628887</v>
      </c>
      <c r="AP57" s="24">
        <f t="shared" si="7"/>
        <v>2.6365329825533754</v>
      </c>
      <c r="AQ57" s="24">
        <f t="shared" si="8"/>
        <v>151.06221244734752</v>
      </c>
      <c r="AR57" s="24">
        <f t="shared" si="9"/>
        <v>49.352845118802222</v>
      </c>
      <c r="AS57" s="24">
        <f t="shared" si="25"/>
        <v>67.612577631527614</v>
      </c>
      <c r="AT57" s="24">
        <f t="shared" si="26"/>
        <v>150.55428955075547</v>
      </c>
    </row>
    <row r="58" spans="1:46">
      <c r="D58" s="13"/>
      <c r="Y58" s="24">
        <v>56</v>
      </c>
      <c r="Z58" s="24">
        <f t="shared" si="1"/>
        <v>31.324081887463471</v>
      </c>
      <c r="AA58" s="24" t="str">
        <f t="shared" si="10"/>
        <v>196.815011076201i</v>
      </c>
      <c r="AB58" s="24">
        <f t="shared" si="2"/>
        <v>9.4210346008907155</v>
      </c>
      <c r="AD58" s="24" t="str">
        <f t="shared" si="3"/>
        <v>0.999911826293814-0.00937590459403092i</v>
      </c>
      <c r="AE58" s="24" t="str">
        <f t="shared" si="4"/>
        <v>0.99999999839953-0.0000508101212626775i</v>
      </c>
      <c r="AF58" s="24" t="str">
        <f t="shared" si="19"/>
        <v>8.18399026352727-0.0771549445757695i</v>
      </c>
      <c r="AG58" s="24">
        <f t="shared" si="5"/>
        <v>8.1843539463406429</v>
      </c>
      <c r="AH58" s="24">
        <f t="shared" si="20"/>
        <v>-9.4272667005819745E-3</v>
      </c>
      <c r="AI58" s="24">
        <f t="shared" si="0"/>
        <v>-0.54014259428756783</v>
      </c>
      <c r="AJ58" s="24">
        <f t="shared" si="21"/>
        <v>18.259688058311564</v>
      </c>
      <c r="AL58" s="24" t="str">
        <f t="shared" si="22"/>
        <v>0.739357400705262-0.4389852329266i</v>
      </c>
      <c r="AM58" s="24" t="str">
        <f t="shared" si="23"/>
        <v>1.00000027641752+0.00441222065997424i</v>
      </c>
      <c r="AN58" s="24" t="str">
        <f t="shared" si="24"/>
        <v>-249.201131397739+146.47714278908i</v>
      </c>
      <c r="AO58" s="24">
        <f t="shared" si="6"/>
        <v>289.06185713366904</v>
      </c>
      <c r="AP58" s="24">
        <f t="shared" si="7"/>
        <v>2.6102018301401237</v>
      </c>
      <c r="AQ58" s="24">
        <f t="shared" si="8"/>
        <v>149.55354854435251</v>
      </c>
      <c r="AR58" s="24">
        <f t="shared" si="9"/>
        <v>49.219815771202981</v>
      </c>
      <c r="AS58" s="24">
        <f t="shared" si="25"/>
        <v>67.479503829514542</v>
      </c>
      <c r="AT58" s="24">
        <f t="shared" si="26"/>
        <v>149.01340595006494</v>
      </c>
    </row>
    <row r="59" spans="1:46">
      <c r="D59" s="13"/>
      <c r="Y59" s="24">
        <v>57</v>
      </c>
      <c r="Z59" s="24">
        <f t="shared" si="1"/>
        <v>33.311214272052936</v>
      </c>
      <c r="AA59" s="24" t="str">
        <f t="shared" si="10"/>
        <v>209.300532078474i</v>
      </c>
      <c r="AB59" s="24">
        <f t="shared" si="2"/>
        <v>9.4210346008907155</v>
      </c>
      <c r="AD59" s="24" t="str">
        <f t="shared" si="3"/>
        <v>0.999900285504734-0.00997057639822777i</v>
      </c>
      <c r="AE59" s="24" t="str">
        <f t="shared" si="4"/>
        <v>0.999999998190028-0.0000540334060712002i</v>
      </c>
      <c r="AF59" s="24" t="str">
        <f t="shared" si="19"/>
        <v>8.18389529338906-0.0820485385339238i</v>
      </c>
      <c r="AG59" s="24">
        <f t="shared" si="5"/>
        <v>8.1843065763588765</v>
      </c>
      <c r="AH59" s="24">
        <f t="shared" si="20"/>
        <v>-1.0025273635721541E-2</v>
      </c>
      <c r="AI59" s="24">
        <f t="shared" si="0"/>
        <v>-0.57440586779061853</v>
      </c>
      <c r="AJ59" s="24">
        <f t="shared" si="21"/>
        <v>18.259637785360614</v>
      </c>
      <c r="AL59" s="24" t="str">
        <f t="shared" si="22"/>
        <v>0.714964159368847-0.451431512177478i</v>
      </c>
      <c r="AM59" s="24" t="str">
        <f t="shared" si="23"/>
        <v>1.00000031260059+0.00469212244663724i</v>
      </c>
      <c r="AN59" s="24" t="str">
        <f t="shared" si="24"/>
        <v>-241.061795017359+150.630124932966i</v>
      </c>
      <c r="AO59" s="24">
        <f t="shared" si="6"/>
        <v>284.25380130142878</v>
      </c>
      <c r="AP59" s="24">
        <f t="shared" si="7"/>
        <v>2.5830932678132292</v>
      </c>
      <c r="AQ59" s="24">
        <f t="shared" si="8"/>
        <v>148.00034233435409</v>
      </c>
      <c r="AR59" s="24">
        <f t="shared" si="9"/>
        <v>49.074125623620837</v>
      </c>
      <c r="AS59" s="24">
        <f t="shared" si="25"/>
        <v>67.333763408981454</v>
      </c>
      <c r="AT59" s="24">
        <f t="shared" si="26"/>
        <v>147.42593646656346</v>
      </c>
    </row>
    <row r="60" spans="1:46">
      <c r="D60" s="13"/>
      <c r="Y60" s="24">
        <v>58</v>
      </c>
      <c r="Z60" s="24">
        <f t="shared" si="1"/>
        <v>35.424406061290533</v>
      </c>
      <c r="AA60" s="24" t="str">
        <f t="shared" si="10"/>
        <v>222.578107679864i</v>
      </c>
      <c r="AB60" s="24">
        <f t="shared" si="2"/>
        <v>9.4210346008907155</v>
      </c>
      <c r="AD60" s="24" t="str">
        <f t="shared" si="3"/>
        <v>0.999887234347614-0.0106029495175894i</v>
      </c>
      <c r="AE60" s="24" t="str">
        <f t="shared" si="4"/>
        <v>0.999999997953103-0.0000574611691345996i</v>
      </c>
      <c r="AF60" s="24" t="str">
        <f t="shared" si="19"/>
        <v>8.18378789430337-0.0872523791298803i</v>
      </c>
      <c r="AG60" s="24">
        <f t="shared" si="5"/>
        <v>8.1842530066347656</v>
      </c>
      <c r="AH60" s="24">
        <f t="shared" si="20"/>
        <v>-1.0661209025674445E-2</v>
      </c>
      <c r="AI60" s="24">
        <f t="shared" si="0"/>
        <v>-0.6108422816779262</v>
      </c>
      <c r="AJ60" s="24">
        <f t="shared" si="21"/>
        <v>18.259580932378626</v>
      </c>
      <c r="AL60" s="24" t="str">
        <f t="shared" si="22"/>
        <v>0.689247502165264-0.462801666941908i</v>
      </c>
      <c r="AM60" s="24" t="str">
        <f t="shared" si="23"/>
        <v>1.00000035352003+0.00498978060015816i</v>
      </c>
      <c r="AN60" s="24" t="str">
        <f t="shared" si="24"/>
        <v>-232.480872102092+154.424035328459i</v>
      </c>
      <c r="AO60" s="24">
        <f t="shared" si="6"/>
        <v>279.09521418411032</v>
      </c>
      <c r="AP60" s="24">
        <f t="shared" si="7"/>
        <v>2.5552691241436123</v>
      </c>
      <c r="AQ60" s="24">
        <f t="shared" si="8"/>
        <v>146.40613633351938</v>
      </c>
      <c r="AR60" s="24">
        <f t="shared" si="9"/>
        <v>48.915047788801466</v>
      </c>
      <c r="AS60" s="24">
        <f t="shared" si="25"/>
        <v>67.174628721180085</v>
      </c>
      <c r="AT60" s="24">
        <f t="shared" si="26"/>
        <v>145.79529405184147</v>
      </c>
    </row>
    <row r="61" spans="1:46">
      <c r="D61" s="13"/>
      <c r="Y61" s="24">
        <v>59</v>
      </c>
      <c r="Z61" s="24">
        <f t="shared" si="1"/>
        <v>37.67165419268462</v>
      </c>
      <c r="AA61" s="24" t="str">
        <f t="shared" si="10"/>
        <v>236.697984120626i</v>
      </c>
      <c r="AB61" s="24">
        <f t="shared" si="2"/>
        <v>9.4210346008907155</v>
      </c>
      <c r="AD61" s="24" t="str">
        <f t="shared" si="3"/>
        <v>0.999872475204968-0.0112754109048943i</v>
      </c>
      <c r="AE61" s="24" t="str">
        <f t="shared" si="4"/>
        <v>0.999999997685164-0.0000611063821134033i</v>
      </c>
      <c r="AF61" s="24" t="str">
        <f t="shared" si="19"/>
        <v>8.18366644005902-0.0927861087572152i</v>
      </c>
      <c r="AG61" s="24">
        <f t="shared" si="5"/>
        <v>8.1841924258980256</v>
      </c>
      <c r="AH61" s="24">
        <f t="shared" si="20"/>
        <v>-1.1337477385832087E-2</v>
      </c>
      <c r="AI61" s="24">
        <f t="shared" si="0"/>
        <v>-0.64958960453319226</v>
      </c>
      <c r="AJ61" s="24">
        <f t="shared" si="21"/>
        <v>18.259516638234668</v>
      </c>
      <c r="AL61" s="24" t="str">
        <f t="shared" si="22"/>
        <v>0.662306515396166-0.472923455814949i</v>
      </c>
      <c r="AM61" s="24" t="str">
        <f t="shared" si="23"/>
        <v>1.00000039979582+0.00530632154616191i</v>
      </c>
      <c r="AN61" s="24" t="str">
        <f t="shared" si="24"/>
        <v>-223.491424955058+157.801401918476i</v>
      </c>
      <c r="AO61" s="24">
        <f t="shared" si="6"/>
        <v>273.58673117656627</v>
      </c>
      <c r="AP61" s="24">
        <f t="shared" si="7"/>
        <v>2.5268020472068171</v>
      </c>
      <c r="AQ61" s="24">
        <f t="shared" si="8"/>
        <v>144.77509296996683</v>
      </c>
      <c r="AR61" s="24">
        <f t="shared" si="9"/>
        <v>48.74190060975269</v>
      </c>
      <c r="AS61" s="24">
        <f t="shared" si="25"/>
        <v>67.001417247987362</v>
      </c>
      <c r="AT61" s="24">
        <f t="shared" si="26"/>
        <v>144.12550336543364</v>
      </c>
    </row>
    <row r="62" spans="1:46">
      <c r="D62" s="13"/>
      <c r="Y62" s="24">
        <v>60</v>
      </c>
      <c r="Z62" s="24">
        <f t="shared" si="1"/>
        <v>40.061462912259522</v>
      </c>
      <c r="AA62" s="24" t="str">
        <f t="shared" si="10"/>
        <v>251.713595154429i</v>
      </c>
      <c r="AB62" s="24">
        <f t="shared" si="2"/>
        <v>9.4210346008907155</v>
      </c>
      <c r="AD62" s="24" t="str">
        <f t="shared" si="3"/>
        <v>0.999855784616209-0.0119904979764853i</v>
      </c>
      <c r="AE62" s="24" t="str">
        <f t="shared" si="4"/>
        <v>0.999999997382152-0.0000649828395623473i</v>
      </c>
      <c r="AF62" s="24" t="str">
        <f t="shared" si="19"/>
        <v>8.18352909177978-0.0986706079841912i</v>
      </c>
      <c r="AG62" s="24">
        <f t="shared" si="5"/>
        <v>8.1841239167601785</v>
      </c>
      <c r="AH62" s="24">
        <f t="shared" si="20"/>
        <v>-1.2056635447933244E-2</v>
      </c>
      <c r="AI62" s="24">
        <f t="shared" si="0"/>
        <v>-0.69079432629439563</v>
      </c>
      <c r="AJ62" s="24">
        <f t="shared" si="21"/>
        <v>18.25944392913031</v>
      </c>
      <c r="AL62" s="24" t="str">
        <f t="shared" si="22"/>
        <v>0.634269217307657-0.481634485147803i</v>
      </c>
      <c r="AM62" s="24" t="str">
        <f t="shared" si="23"/>
        <v>1.00000045212912+0.00564294316827236i</v>
      </c>
      <c r="AN62" s="24" t="str">
        <f t="shared" si="24"/>
        <v>-214.136169652927+160.708038566843i</v>
      </c>
      <c r="AO62" s="24">
        <f t="shared" si="6"/>
        <v>267.73377226944876</v>
      </c>
      <c r="AP62" s="24">
        <f t="shared" si="7"/>
        <v>2.4977750772010525</v>
      </c>
      <c r="AQ62" s="24">
        <f t="shared" si="8"/>
        <v>143.11197009658369</v>
      </c>
      <c r="AR62" s="24">
        <f t="shared" si="9"/>
        <v>48.554063141718501</v>
      </c>
      <c r="AS62" s="24">
        <f t="shared" si="25"/>
        <v>66.813507070848814</v>
      </c>
      <c r="AT62" s="24">
        <f t="shared" si="26"/>
        <v>142.4211757702893</v>
      </c>
    </row>
    <row r="63" spans="1:46">
      <c r="D63" s="13"/>
      <c r="Y63" s="24">
        <v>61</v>
      </c>
      <c r="Z63" s="24">
        <f t="shared" si="1"/>
        <v>42.602875957116908</v>
      </c>
      <c r="AA63" s="24" t="str">
        <f t="shared" si="10"/>
        <v>267.681764257351i</v>
      </c>
      <c r="AB63" s="24">
        <f t="shared" si="2"/>
        <v>9.4210346008907155</v>
      </c>
      <c r="AD63" s="24" t="str">
        <f t="shared" si="3"/>
        <v>0.999836909901762-0.0127509079630607i</v>
      </c>
      <c r="AE63" s="24" t="str">
        <f t="shared" si="4"/>
        <v>0.999999997039475-0.0000691052111330071i</v>
      </c>
      <c r="AF63" s="24" t="str">
        <f t="shared" si="19"/>
        <v>8.18337377014386-0.104928072502036i</v>
      </c>
      <c r="AG63" s="24">
        <f t="shared" si="5"/>
        <v>8.1840464418451031</v>
      </c>
      <c r="AH63" s="24">
        <f t="shared" si="20"/>
        <v>-1.282140175133731E-2</v>
      </c>
      <c r="AI63" s="24">
        <f t="shared" si="0"/>
        <v>-0.73461220779326997</v>
      </c>
      <c r="AJ63" s="24">
        <f t="shared" si="21"/>
        <v>18.259361703866603</v>
      </c>
      <c r="AL63" s="24" t="str">
        <f t="shared" si="22"/>
        <v>0.605291387784515-0.488788015051935i</v>
      </c>
      <c r="AM63" s="24" t="str">
        <f t="shared" si="23"/>
        <v>1.00000051131284+0.00600091934124995i</v>
      </c>
      <c r="AN63" s="24" t="str">
        <f t="shared" si="24"/>
        <v>-204.467085547892+163.094982358207i</v>
      </c>
      <c r="AO63" s="24">
        <f t="shared" si="6"/>
        <v>261.54686452502699</v>
      </c>
      <c r="AP63" s="24">
        <f t="shared" si="7"/>
        <v>2.4682808669303586</v>
      </c>
      <c r="AQ63" s="24">
        <f t="shared" si="8"/>
        <v>141.42207632800154</v>
      </c>
      <c r="AR63" s="24">
        <f t="shared" si="9"/>
        <v>48.350990359749211</v>
      </c>
      <c r="AS63" s="24">
        <f t="shared" si="25"/>
        <v>66.610352063615807</v>
      </c>
      <c r="AT63" s="24">
        <f t="shared" si="26"/>
        <v>140.68746412020826</v>
      </c>
    </row>
    <row r="64" spans="1:46">
      <c r="C64" s="23"/>
      <c r="D64" s="13"/>
      <c r="Y64" s="24">
        <v>62</v>
      </c>
      <c r="Z64" s="24">
        <f t="shared" si="1"/>
        <v>45.305510779589277</v>
      </c>
      <c r="AA64" s="24" t="str">
        <f t="shared" si="10"/>
        <v>284.662919664582i</v>
      </c>
      <c r="AB64" s="24">
        <f t="shared" si="2"/>
        <v>9.4210346008907155</v>
      </c>
      <c r="AD64" s="24" t="str">
        <f t="shared" si="3"/>
        <v>0.99981556534722-0.0135595078143479i</v>
      </c>
      <c r="AE64" s="24" t="str">
        <f t="shared" si="4"/>
        <v>0.999999996651942-0.0000734890970880516i</v>
      </c>
      <c r="AF64" s="24" t="str">
        <f t="shared" si="19"/>
        <v>8.18319812398303-0.111582094631156i</v>
      </c>
      <c r="AG64" s="24">
        <f t="shared" si="5"/>
        <v>8.1839588281101232</v>
      </c>
      <c r="AH64" s="24">
        <f t="shared" si="20"/>
        <v>-1.3634666829589189E-2</v>
      </c>
      <c r="AI64" s="24">
        <f t="shared" si="0"/>
        <v>-0.78120886440247939</v>
      </c>
      <c r="AJ64" s="24">
        <f t="shared" si="21"/>
        <v>18.259268717186764</v>
      </c>
      <c r="AL64" s="24" t="str">
        <f t="shared" si="22"/>
        <v>0.575554019157285-0.494258626823226i</v>
      </c>
      <c r="AM64" s="24" t="str">
        <f t="shared" si="23"/>
        <v>1.00000057824373+0.00638160475170119i</v>
      </c>
      <c r="AN64" s="24" t="str">
        <f t="shared" si="24"/>
        <v>-194.544564673932+164.920384657751i</v>
      </c>
      <c r="AO64" s="24">
        <f t="shared" si="6"/>
        <v>255.04180229881976</v>
      </c>
      <c r="AP64" s="24">
        <f t="shared" si="7"/>
        <v>2.4384205478408649</v>
      </c>
      <c r="AQ64" s="24">
        <f t="shared" si="8"/>
        <v>139.71120606925962</v>
      </c>
      <c r="AR64" s="24">
        <f t="shared" si="9"/>
        <v>48.132227374940378</v>
      </c>
      <c r="AS64" s="24">
        <f t="shared" si="25"/>
        <v>66.391496092127142</v>
      </c>
      <c r="AT64" s="24">
        <f t="shared" si="26"/>
        <v>138.92999720485713</v>
      </c>
    </row>
    <row r="65" spans="3:46">
      <c r="C65" s="23"/>
      <c r="D65" s="13"/>
      <c r="Y65" s="24">
        <v>63</v>
      </c>
      <c r="Z65" s="24">
        <f t="shared" si="1"/>
        <v>48.179594942500358</v>
      </c>
      <c r="AA65" s="24" t="str">
        <f t="shared" si="10"/>
        <v>302.721323048582i</v>
      </c>
      <c r="AB65" s="24">
        <f t="shared" si="2"/>
        <v>9.4210346008907155</v>
      </c>
      <c r="AD65" s="24" t="str">
        <f t="shared" si="3"/>
        <v>0.999791427890501-0.0144193446848445i</v>
      </c>
      <c r="AE65" s="24" t="str">
        <f t="shared" si="4"/>
        <v>0.999999996213681-0.0000781510873371967i</v>
      </c>
      <c r="AF65" s="24" t="str">
        <f t="shared" si="19"/>
        <v>8.18299949479185-0.118657749608992i</v>
      </c>
      <c r="AG65" s="24">
        <f t="shared" si="5"/>
        <v>8.1838597491224121</v>
      </c>
      <c r="AH65" s="24">
        <f t="shared" si="20"/>
        <v>-1.4499504027370939E-2</v>
      </c>
      <c r="AI65" s="24">
        <f t="shared" si="0"/>
        <v>-0.83076038580129452</v>
      </c>
      <c r="AJ65" s="24">
        <f t="shared" si="21"/>
        <v>18.259163560943904</v>
      </c>
      <c r="AL65" s="24" t="str">
        <f t="shared" si="22"/>
        <v>0.545259404451529-0.49794737303122i</v>
      </c>
      <c r="AM65" s="24" t="str">
        <f t="shared" si="23"/>
        <v>1.00000065393586+0.00678644002460232i</v>
      </c>
      <c r="AN65" s="24" t="str">
        <f t="shared" si="24"/>
        <v>-184.436106505943+166.151229550832i</v>
      </c>
      <c r="AO65" s="24">
        <f t="shared" si="6"/>
        <v>248.23961904644639</v>
      </c>
      <c r="AP65" s="24">
        <f t="shared" si="7"/>
        <v>2.4083022617123642</v>
      </c>
      <c r="AQ65" s="24">
        <f t="shared" si="8"/>
        <v>137.98555538792911</v>
      </c>
      <c r="AR65" s="24">
        <f t="shared" si="9"/>
        <v>47.897421921990031</v>
      </c>
      <c r="AS65" s="24">
        <f t="shared" si="25"/>
        <v>66.156585482933934</v>
      </c>
      <c r="AT65" s="24">
        <f t="shared" si="26"/>
        <v>137.15479500212783</v>
      </c>
    </row>
    <row r="66" spans="3:46">
      <c r="C66" s="23"/>
      <c r="D66" s="13"/>
      <c r="Y66" s="24">
        <v>64</v>
      </c>
      <c r="Z66" s="24">
        <f t="shared" si="1"/>
        <v>51.236004823262483</v>
      </c>
      <c r="AA66" s="24" t="str">
        <f t="shared" si="10"/>
        <v>321.925312704105i</v>
      </c>
      <c r="AB66" s="24">
        <f t="shared" si="2"/>
        <v>9.4210346008907155</v>
      </c>
      <c r="AD66" s="24" t="str">
        <f t="shared" si="3"/>
        <v>0.999764132247626-0.0153336570279452i</v>
      </c>
      <c r="AE66" s="24" t="str">
        <f t="shared" si="4"/>
        <v>0.999999995718051-0.0000831088242182744i</v>
      </c>
      <c r="AF66" s="24" t="str">
        <f t="shared" si="19"/>
        <v>8.18277487661727-0.126181686884323i</v>
      </c>
      <c r="AG66" s="24">
        <f t="shared" si="5"/>
        <v>8.1837477050251088</v>
      </c>
      <c r="AH66" s="24">
        <f t="shared" si="20"/>
        <v>-1.5419180984635582E-2</v>
      </c>
      <c r="AI66" s="24">
        <f t="shared" ref="AI66:AI129" si="27">AH66/(PI())*180</f>
        <v>-0.88345399396799196</v>
      </c>
      <c r="AJ66" s="24">
        <f t="shared" si="21"/>
        <v>18.259044642810448</v>
      </c>
      <c r="AL66" s="24" t="str">
        <f t="shared" si="22"/>
        <v>0.514625998121911-0.499786034397659i</v>
      </c>
      <c r="AM66" s="24" t="str">
        <f t="shared" si="23"/>
        <v>1.00000073953611+0.00721695717503778i</v>
      </c>
      <c r="AN66" s="24" t="str">
        <f t="shared" si="24"/>
        <v>-174.214603131722+166.764754243455i</v>
      </c>
      <c r="AO66" s="24">
        <f t="shared" si="6"/>
        <v>241.16635586711374</v>
      </c>
      <c r="AP66" s="24">
        <f t="shared" si="7"/>
        <v>2.378039401523341</v>
      </c>
      <c r="AQ66" s="24">
        <f t="shared" si="8"/>
        <v>136.2516212231036</v>
      </c>
      <c r="AR66" s="24">
        <f t="shared" si="9"/>
        <v>47.64633442090404</v>
      </c>
      <c r="AS66" s="24">
        <f t="shared" si="25"/>
        <v>65.905379063714491</v>
      </c>
      <c r="AT66" s="24">
        <f t="shared" si="26"/>
        <v>135.36816722913559</v>
      </c>
    </row>
    <row r="67" spans="3:46">
      <c r="C67" s="23"/>
      <c r="D67" s="13"/>
      <c r="Y67" s="24">
        <v>65</v>
      </c>
      <c r="Z67" s="24">
        <f t="shared" ref="Z67:Z130" si="28">10^(LOG($G$6/$G$5,10)*Y67/200)</f>
        <v>54.486306773278585</v>
      </c>
      <c r="AA67" s="24" t="str">
        <f t="shared" si="10"/>
        <v>342.347562160344i</v>
      </c>
      <c r="AB67" s="24">
        <f t="shared" ref="AB67:AB130" si="29">$B$23/$G$3</f>
        <v>9.4210346008907155</v>
      </c>
      <c r="AD67" s="24" t="str">
        <f t="shared" ref="AD67:AD130" si="30">IMDIV(IMSUM(1,IMDIV(AA67,$G$12)),IMSUM(1,IMDIV(AA67,$G$14)))</f>
        <v>0.999733265404533-0.0163058863255728i</v>
      </c>
      <c r="AE67" s="24" t="str">
        <f t="shared" ref="AE67:AE130" si="31">IMDIV(1,IMSUM(1,IMDIV(AA67,IMPRODUCT($G$10*$G$11)),IMDIV(IMPRODUCT(AA67,AA67),$G$10*$G$10)))</f>
        <v>0.999999995157544-0.0000883810692609926i</v>
      </c>
      <c r="AF67" s="24" t="str">
        <f t="shared" si="19"/>
        <v>8.18252087073135-0.134182226641168i</v>
      </c>
      <c r="AG67" s="24">
        <f t="shared" ref="AG67:AG130" si="32">IMABS(AF67)</f>
        <v>8.1836209998936607</v>
      </c>
      <c r="AH67" s="24">
        <f t="shared" si="20"/>
        <v>-1.6397171826396169E-2</v>
      </c>
      <c r="AI67" s="24">
        <f t="shared" si="27"/>
        <v>-0.9394887416033203</v>
      </c>
      <c r="AJ67" s="24">
        <f t="shared" si="21"/>
        <v>18.258910162209663</v>
      </c>
      <c r="AL67" s="24" t="str">
        <f t="shared" si="22"/>
        <v>0.483882301151874-0.499740152262995i</v>
      </c>
      <c r="AM67" s="24" t="str">
        <f t="shared" si="23"/>
        <v>1.00000083634142+0.00767478540578351i</v>
      </c>
      <c r="AN67" s="24" t="str">
        <f t="shared" si="24"/>
        <v>-163.956298882241+166.749460910968i</v>
      </c>
      <c r="AO67" s="24">
        <f t="shared" ref="AO67:AO130" si="33">IMABS(AN67)</f>
        <v>233.8526259362105</v>
      </c>
      <c r="AP67" s="24">
        <f t="shared" ref="AP67:AP130" si="34">IMARGUMENT(AN67)</f>
        <v>2.3477486269704606</v>
      </c>
      <c r="AQ67" s="24">
        <f t="shared" ref="AQ67:AQ130" si="35">AP67/(PI())*180</f>
        <v>134.51608768304126</v>
      </c>
      <c r="AR67" s="24">
        <f t="shared" ref="AR67:AR130" si="36">20*LOG(AO67,10)</f>
        <v>47.378845019481268</v>
      </c>
      <c r="AS67" s="24">
        <f t="shared" si="25"/>
        <v>65.637755181690935</v>
      </c>
      <c r="AT67" s="24">
        <f t="shared" si="26"/>
        <v>133.57659894143794</v>
      </c>
    </row>
    <row r="68" spans="3:46">
      <c r="D68" s="13"/>
      <c r="Y68" s="24">
        <v>66</v>
      </c>
      <c r="Z68" s="24">
        <f t="shared" si="28"/>
        <v>57.94280088840825</v>
      </c>
      <c r="AA68" s="24" t="str">
        <f t="shared" ref="AA68:AA131" si="37">IMPRODUCT(COMPLEX(0,1),2*PI()*Z68)</f>
        <v>364.065355198879i</v>
      </c>
      <c r="AB68" s="24">
        <f t="shared" si="29"/>
        <v>9.4210346008907155</v>
      </c>
      <c r="AD68" s="24" t="str">
        <f t="shared" si="30"/>
        <v>0.999698360393061-0.0173396894798436i</v>
      </c>
      <c r="AE68" s="24" t="str">
        <f t="shared" si="31"/>
        <v>0.999999994523666-0.0000939877741860412i</v>
      </c>
      <c r="AF68" s="24" t="str">
        <f t="shared" si="19"/>
        <v>8.18223363441322-0.142689461770616i</v>
      </c>
      <c r="AG68" s="24">
        <f t="shared" si="32"/>
        <v>8.1834777161438748</v>
      </c>
      <c r="AH68" s="24">
        <f t="shared" ref="AH68:AH99" si="38">IMARGUMENT(AF68)</f>
        <v>-1.7437170098313189E-2</v>
      </c>
      <c r="AI68" s="24">
        <f t="shared" si="27"/>
        <v>-0.99907625328506455</v>
      </c>
      <c r="AJ68" s="24">
        <f t="shared" ref="AJ68:AJ99" si="39">20*LOG(AG68,10)</f>
        <v>18.258758083107654</v>
      </c>
      <c r="AL68" s="24" t="str">
        <f t="shared" ref="AL68:AL99" si="40">IMDIV(1,IMSUM(1,IMDIV(AA68,wp2e)))</f>
        <v>0.453260121097998-0.497810590204976i</v>
      </c>
      <c r="AM68" s="24" t="str">
        <f t="shared" ref="AM68:AM99" si="41">IMDIV(IMSUM(1,IMDIV(AA68,wz2e)),IMSUM(1,IMDIV(AA68,wp1e)))</f>
        <v>1.00000094581856+0.00816165727267475i</v>
      </c>
      <c r="AN68" s="24" t="str">
        <f t="shared" ref="AN68:AN99" si="42">IMPRODUCT($AK$2,AL68,AM68)</f>
        <v>-153.738541398637+166.105637766367i</v>
      </c>
      <c r="AO68" s="24">
        <f t="shared" si="33"/>
        <v>226.33298921975992</v>
      </c>
      <c r="AP68" s="24">
        <f t="shared" si="34"/>
        <v>2.3175477380785514</v>
      </c>
      <c r="AQ68" s="24">
        <f t="shared" si="35"/>
        <v>132.78570421199134</v>
      </c>
      <c r="AR68" s="24">
        <f t="shared" si="36"/>
        <v>47.094957185319316</v>
      </c>
      <c r="AS68" s="24">
        <f t="shared" ref="AS68:AS99" si="43">AR68+AJ68</f>
        <v>65.353715268426967</v>
      </c>
      <c r="AT68" s="24">
        <f t="shared" ref="AT68:AT99" si="44">AQ68+AI68</f>
        <v>131.78662795870628</v>
      </c>
    </row>
    <row r="69" spans="3:46">
      <c r="D69" s="13"/>
      <c r="Y69" s="24">
        <v>67</v>
      </c>
      <c r="Z69" s="24">
        <f t="shared" si="28"/>
        <v>61.61856755613799</v>
      </c>
      <c r="AA69" s="24" t="str">
        <f t="shared" si="37"/>
        <v>387.160878318179i</v>
      </c>
      <c r="AB69" s="24">
        <f t="shared" si="29"/>
        <v>9.4210346008907155</v>
      </c>
      <c r="AD69" s="24" t="str">
        <f t="shared" si="30"/>
        <v>0.999658889258866-0.0184389518922053i</v>
      </c>
      <c r="AE69" s="24" t="str">
        <f t="shared" si="31"/>
        <v>0.999999993806814-0.0000999501564082286i</v>
      </c>
      <c r="AF69" s="24" t="str">
        <f t="shared" si="19"/>
        <v>8.18190882308154-0.15173536549991i</v>
      </c>
      <c r="AG69" s="24">
        <f t="shared" si="32"/>
        <v>8.1833156856107507</v>
      </c>
      <c r="AH69" s="24">
        <f t="shared" si="38"/>
        <v>-1.8543102489832673E-2</v>
      </c>
      <c r="AI69" s="24">
        <f t="shared" si="27"/>
        <v>-1.0624415117459407</v>
      </c>
      <c r="AJ69" s="24">
        <f t="shared" si="39"/>
        <v>18.258586103258672</v>
      </c>
      <c r="AL69" s="24" t="str">
        <f t="shared" si="40"/>
        <v>0.422987623365749-0.494033494659162i</v>
      </c>
      <c r="AM69" s="24" t="str">
        <f t="shared" si="41"/>
        <v>1.00000106962627+0.00867941524108976i</v>
      </c>
      <c r="AN69" s="24" t="str">
        <f t="shared" si="42"/>
        <v>-143.637463038973+164.845345920686i</v>
      </c>
      <c r="AO69" s="24">
        <f t="shared" si="33"/>
        <v>218.64516655984636</v>
      </c>
      <c r="AP69" s="24">
        <f t="shared" si="34"/>
        <v>2.287553502049184</v>
      </c>
      <c r="AQ69" s="24">
        <f t="shared" si="35"/>
        <v>131.06716107778936</v>
      </c>
      <c r="AR69" s="24">
        <f t="shared" si="36"/>
        <v>46.794797622678637</v>
      </c>
      <c r="AS69" s="24">
        <f t="shared" si="43"/>
        <v>65.053383725937309</v>
      </c>
      <c r="AT69" s="24">
        <f t="shared" si="44"/>
        <v>130.00471956604343</v>
      </c>
    </row>
    <row r="70" spans="3:46">
      <c r="D70" s="13"/>
      <c r="Y70" s="24">
        <v>68</v>
      </c>
      <c r="Z70" s="24">
        <f t="shared" si="28"/>
        <v>65.527516955603716</v>
      </c>
      <c r="AA70" s="24" t="str">
        <f t="shared" si="37"/>
        <v>411.72153175141i</v>
      </c>
      <c r="AB70" s="24">
        <f t="shared" si="29"/>
        <v>9.4210346008907155</v>
      </c>
      <c r="AD70" s="24" t="str">
        <f t="shared" si="30"/>
        <v>0.999614255117323-0.0196078012537707i</v>
      </c>
      <c r="AE70" s="24" t="str">
        <f t="shared" si="31"/>
        <v>0.999999992996125-0.000106290779329364i</v>
      </c>
      <c r="AF70" s="24" t="str">
        <f t="shared" si="19"/>
        <v>8.18154152492179-0.161353904874001i</v>
      </c>
      <c r="AG70" s="24">
        <f t="shared" si="32"/>
        <v>8.1831324568674599</v>
      </c>
      <c r="AH70" s="24">
        <f t="shared" si="38"/>
        <v>-1.971914338815858E-2</v>
      </c>
      <c r="AI70" s="24">
        <f t="shared" si="27"/>
        <v>-1.129823691754789</v>
      </c>
      <c r="AJ70" s="24">
        <f t="shared" si="39"/>
        <v>18.258391619442889</v>
      </c>
      <c r="AL70" s="24" t="str">
        <f t="shared" si="40"/>
        <v>0.393282612357596-0.48847865784984i</v>
      </c>
      <c r="AM70" s="24" t="str">
        <f t="shared" si="41"/>
        <v>1.00000120964041+0.00923001865835985i</v>
      </c>
      <c r="AN70" s="24" t="str">
        <f t="shared" si="42"/>
        <v>-133.725738986935+162.991873139491i</v>
      </c>
      <c r="AO70" s="24">
        <f t="shared" si="33"/>
        <v>210.8291345547901</v>
      </c>
      <c r="AP70" s="24">
        <f t="shared" si="34"/>
        <v>2.2578795324422853</v>
      </c>
      <c r="AQ70" s="24">
        <f t="shared" si="35"/>
        <v>129.3669678579146</v>
      </c>
      <c r="AR70" s="24">
        <f t="shared" si="36"/>
        <v>46.478612520001633</v>
      </c>
      <c r="AS70" s="24">
        <f t="shared" si="43"/>
        <v>64.737004139444522</v>
      </c>
      <c r="AT70" s="24">
        <f t="shared" si="44"/>
        <v>128.23714416615982</v>
      </c>
    </row>
    <row r="71" spans="3:46">
      <c r="D71" s="13"/>
      <c r="Y71" s="24">
        <v>69</v>
      </c>
      <c r="Z71" s="24">
        <f t="shared" si="28"/>
        <v>69.684441697788372</v>
      </c>
      <c r="AA71" s="24" t="str">
        <f t="shared" si="37"/>
        <v>437.840260214556i</v>
      </c>
      <c r="AB71" s="24">
        <f t="shared" si="29"/>
        <v>9.4210346008907155</v>
      </c>
      <c r="AD71" s="24" t="str">
        <f t="shared" si="30"/>
        <v>0.99956378318041-0.0208506220680754i</v>
      </c>
      <c r="AE71" s="24" t="str">
        <f t="shared" si="31"/>
        <v>0.999999992079318-0.000113033637724749i</v>
      </c>
      <c r="AF71" s="24" t="str">
        <f t="shared" si="19"/>
        <v>8.18112618704576-0.171581160264273i</v>
      </c>
      <c r="AG71" s="24">
        <f t="shared" si="32"/>
        <v>8.1829252582999619</v>
      </c>
      <c r="AH71" s="24">
        <f t="shared" si="38"/>
        <v>-2.0969730307739031E-2</v>
      </c>
      <c r="AI71" s="24">
        <f t="shared" si="27"/>
        <v>-1.2014770441610154</v>
      </c>
      <c r="AJ71" s="24">
        <f t="shared" si="39"/>
        <v>18.258171688177598</v>
      </c>
      <c r="AL71" s="24" t="str">
        <f t="shared" si="40"/>
        <v>0.364346456531738-0.481246419357593i</v>
      </c>
      <c r="AM71" s="24" t="str">
        <f t="shared" si="41"/>
        <v>1.00000136798241+0.00981555116849143i</v>
      </c>
      <c r="AN71" s="24" t="str">
        <f t="shared" si="42"/>
        <v>-124.070560215345+160.578699983658i</v>
      </c>
      <c r="AO71" s="24">
        <f t="shared" si="33"/>
        <v>202.92615110081599</v>
      </c>
      <c r="AP71" s="24">
        <f t="shared" si="34"/>
        <v>2.2286343154438248</v>
      </c>
      <c r="AQ71" s="24">
        <f t="shared" si="35"/>
        <v>127.69134035295856</v>
      </c>
      <c r="AR71" s="24">
        <f t="shared" si="36"/>
        <v>46.146760363726756</v>
      </c>
      <c r="AS71" s="24">
        <f t="shared" si="43"/>
        <v>64.404932051904353</v>
      </c>
      <c r="AT71" s="24">
        <f t="shared" si="44"/>
        <v>126.48986330879755</v>
      </c>
    </row>
    <row r="72" spans="3:46">
      <c r="D72" s="13"/>
      <c r="Y72" s="24">
        <v>70</v>
      </c>
      <c r="Z72" s="24">
        <f t="shared" si="28"/>
        <v>74.105072805100434</v>
      </c>
      <c r="AA72" s="24" t="str">
        <f t="shared" si="37"/>
        <v>465.615904636481i</v>
      </c>
      <c r="AB72" s="24">
        <f t="shared" si="29"/>
        <v>9.4210346008907155</v>
      </c>
      <c r="AD72" s="24" t="str">
        <f t="shared" si="30"/>
        <v>0.999506710622889-0.0221720709240453i</v>
      </c>
      <c r="AE72" s="24" t="str">
        <f t="shared" si="31"/>
        <v>0.9999999910425-0.000120204248546392i</v>
      </c>
      <c r="AF72" s="24" t="str">
        <f t="shared" si="19"/>
        <v>8.18065653209945-0.182455451050776i</v>
      </c>
      <c r="AG72" s="24">
        <f t="shared" si="32"/>
        <v>8.1826909563907844</v>
      </c>
      <c r="AH72" s="24">
        <f t="shared" si="38"/>
        <v>-2.2299580241164314E-2</v>
      </c>
      <c r="AI72" s="24">
        <f t="shared" si="27"/>
        <v>-1.2776718327320378</v>
      </c>
      <c r="AJ72" s="24">
        <f t="shared" si="39"/>
        <v>18.25792298131578</v>
      </c>
      <c r="AL72" s="24" t="str">
        <f t="shared" si="40"/>
        <v>0.336359003813676-0.472463357697872i</v>
      </c>
      <c r="AM72" s="24" t="str">
        <f t="shared" si="41"/>
        <v>1.00000154705138+0.0104382285972583i</v>
      </c>
      <c r="AN72" s="24" t="str">
        <f t="shared" si="42"/>
        <v>-114.731936902449+157.648062210988i</v>
      </c>
      <c r="AO72" s="24">
        <f t="shared" si="33"/>
        <v>194.97776505095928</v>
      </c>
      <c r="AP72" s="24">
        <f t="shared" si="34"/>
        <v>2.1999194659173908</v>
      </c>
      <c r="AQ72" s="24">
        <f t="shared" si="35"/>
        <v>126.04610066574065</v>
      </c>
      <c r="AR72" s="24">
        <f t="shared" si="36"/>
        <v>45.799701758916044</v>
      </c>
      <c r="AS72" s="24">
        <f t="shared" si="43"/>
        <v>64.05762474023183</v>
      </c>
      <c r="AT72" s="24">
        <f t="shared" si="44"/>
        <v>124.76842883300861</v>
      </c>
    </row>
    <row r="73" spans="3:46">
      <c r="D73" s="13"/>
      <c r="Y73" s="24">
        <v>71</v>
      </c>
      <c r="Z73" s="24">
        <f t="shared" si="28"/>
        <v>78.806139242176371</v>
      </c>
      <c r="AA73" s="24" t="str">
        <f t="shared" si="37"/>
        <v>495.153576201991i</v>
      </c>
      <c r="AB73" s="24">
        <f t="shared" si="29"/>
        <v>9.4210346008907155</v>
      </c>
      <c r="AD73" s="24" t="str">
        <f t="shared" si="30"/>
        <v>0.999442175139711-0.0235770925323379i</v>
      </c>
      <c r="AE73" s="24" t="str">
        <f t="shared" si="31"/>
        <v>0.999999989869964-0.000127829747486577i</v>
      </c>
      <c r="AF73" s="24" t="str">
        <f t="shared" si="19"/>
        <v>8.18012546410106-0.194017467586326i</v>
      </c>
      <c r="AG73" s="24">
        <f t="shared" si="32"/>
        <v>8.1824260085969129</v>
      </c>
      <c r="AH73" s="24">
        <f t="shared" si="38"/>
        <v>-2.3713706978349063E-2</v>
      </c>
      <c r="AI73" s="24">
        <f t="shared" si="27"/>
        <v>-1.3586953264693296</v>
      </c>
      <c r="AJ73" s="24">
        <f t="shared" si="39"/>
        <v>18.257641735871271</v>
      </c>
      <c r="AL73" s="24" t="str">
        <f t="shared" si="40"/>
        <v>0.309474733856861-0.462277106248067i</v>
      </c>
      <c r="AM73" s="24" t="str">
        <f t="shared" si="41"/>
        <v>1.00000174956049+0.0111004073375029i</v>
      </c>
      <c r="AN73" s="24" t="str">
        <f t="shared" si="42"/>
        <v>-105.761414549868+154.249220997637i</v>
      </c>
      <c r="AO73" s="24">
        <f t="shared" si="33"/>
        <v>187.02486194612439</v>
      </c>
      <c r="AP73" s="24">
        <f t="shared" si="34"/>
        <v>2.1718282777350888</v>
      </c>
      <c r="AQ73" s="24">
        <f t="shared" si="35"/>
        <v>124.43659414138696</v>
      </c>
      <c r="AR73" s="24">
        <f t="shared" si="36"/>
        <v>45.437986856752289</v>
      </c>
      <c r="AS73" s="24">
        <f t="shared" si="43"/>
        <v>63.695628592623564</v>
      </c>
      <c r="AT73" s="24">
        <f t="shared" si="44"/>
        <v>123.07789881491763</v>
      </c>
    </row>
    <row r="74" spans="3:46">
      <c r="D74" s="13"/>
      <c r="Y74" s="24">
        <v>72</v>
      </c>
      <c r="Z74" s="24">
        <f t="shared" si="28"/>
        <v>83.805431223189501</v>
      </c>
      <c r="AA74" s="24" t="str">
        <f t="shared" si="37"/>
        <v>526.565054123394i</v>
      </c>
      <c r="AB74" s="24">
        <f t="shared" si="29"/>
        <v>9.4210346008907155</v>
      </c>
      <c r="AD74" s="24" t="str">
        <f t="shared" si="30"/>
        <v>0.999369202028252-0.0250709365321657i</v>
      </c>
      <c r="AE74" s="24" t="str">
        <f t="shared" si="31"/>
        <v>0.99999998854394-0.000135938991667213i</v>
      </c>
      <c r="AF74" s="24" t="str">
        <f t="shared" si="19"/>
        <v>8.17952496213946-0.206310409500927i</v>
      </c>
      <c r="AG74" s="24">
        <f t="shared" si="32"/>
        <v>8.1821264101290296</v>
      </c>
      <c r="AH74" s="24">
        <f t="shared" si="38"/>
        <v>-2.5217439441506222E-2</v>
      </c>
      <c r="AI74" s="24">
        <f t="shared" si="27"/>
        <v>-1.4448528501250462</v>
      </c>
      <c r="AJ74" s="24">
        <f t="shared" si="39"/>
        <v>18.257323697325337</v>
      </c>
      <c r="AL74" s="24" t="str">
        <f t="shared" si="40"/>
        <v>0.283820276345684-0.450850670489402i</v>
      </c>
      <c r="AM74" s="24" t="str">
        <f t="shared" si="41"/>
        <v>1.00000197857806+0.0118045932663781i</v>
      </c>
      <c r="AN74" s="24" t="str">
        <f t="shared" si="42"/>
        <v>-97.2012459103205+150.436566762388i</v>
      </c>
      <c r="AO74" s="24">
        <f t="shared" si="33"/>
        <v>179.10679167963735</v>
      </c>
      <c r="AP74" s="24">
        <f t="shared" si="34"/>
        <v>2.1444446107923594</v>
      </c>
      <c r="AQ74" s="24">
        <f t="shared" si="35"/>
        <v>122.86762559797666</v>
      </c>
      <c r="AR74" s="24">
        <f t="shared" si="36"/>
        <v>45.062241089740525</v>
      </c>
      <c r="AS74" s="24">
        <f t="shared" si="43"/>
        <v>63.319564787065858</v>
      </c>
      <c r="AT74" s="24">
        <f t="shared" si="44"/>
        <v>121.42277274785161</v>
      </c>
    </row>
    <row r="75" spans="3:46">
      <c r="D75" s="13"/>
      <c r="Y75" s="24">
        <v>73</v>
      </c>
      <c r="Z75" s="24">
        <f t="shared" si="28"/>
        <v>89.121867535237712</v>
      </c>
      <c r="AA75" s="24" t="str">
        <f t="shared" si="37"/>
        <v>559.969208645811i</v>
      </c>
      <c r="AB75" s="24">
        <f t="shared" si="29"/>
        <v>9.4210346008907155</v>
      </c>
      <c r="AD75" s="24" t="str">
        <f t="shared" si="30"/>
        <v>0.999286689608581-0.0266591750679089i</v>
      </c>
      <c r="AE75" s="24" t="str">
        <f t="shared" si="31"/>
        <v>0.999999987044342-0.000144562668843557i</v>
      </c>
      <c r="AF75" s="24" t="str">
        <f t="shared" si="19"/>
        <v>8.17884596039654-0.219380130340849i</v>
      </c>
      <c r="AG75" s="24">
        <f t="shared" si="32"/>
        <v>8.181787633853812</v>
      </c>
      <c r="AH75" s="24">
        <f t="shared" si="38"/>
        <v>-2.6816441083648137E-2</v>
      </c>
      <c r="AI75" s="24">
        <f t="shared" si="27"/>
        <v>-1.5364688956542663</v>
      </c>
      <c r="AJ75" s="24">
        <f t="shared" si="39"/>
        <v>18.256964055575686</v>
      </c>
      <c r="AL75" s="24" t="str">
        <f t="shared" si="40"/>
        <v>0.259493306126354-0.438356624453159i</v>
      </c>
      <c r="AM75" s="24" t="str">
        <f t="shared" si="41"/>
        <v>1.00000223757403+0.0125534512282728i</v>
      </c>
      <c r="AN75" s="24" t="str">
        <f t="shared" si="42"/>
        <v>-89.084022323968+146.267682684838i</v>
      </c>
      <c r="AO75" s="24">
        <f t="shared" si="33"/>
        <v>171.26061436129936</v>
      </c>
      <c r="AP75" s="24">
        <f t="shared" si="34"/>
        <v>2.117842133692406</v>
      </c>
      <c r="AQ75" s="24">
        <f t="shared" si="35"/>
        <v>121.34341593555591</v>
      </c>
      <c r="AR75" s="24">
        <f t="shared" si="36"/>
        <v>44.673149952566561</v>
      </c>
      <c r="AS75" s="24">
        <f t="shared" si="43"/>
        <v>62.930114008142247</v>
      </c>
      <c r="AT75" s="24">
        <f t="shared" si="44"/>
        <v>119.80694703990164</v>
      </c>
    </row>
    <row r="76" spans="3:46">
      <c r="D76" s="13"/>
      <c r="Y76" s="24">
        <v>74</v>
      </c>
      <c r="Z76" s="24">
        <f t="shared" si="28"/>
        <v>94.775567132582992</v>
      </c>
      <c r="AA76" s="24" t="str">
        <f t="shared" si="37"/>
        <v>595.492450887058i</v>
      </c>
      <c r="AB76" s="24">
        <f t="shared" si="29"/>
        <v>9.4210346008907155</v>
      </c>
      <c r="AD76" s="24" t="str">
        <f t="shared" si="30"/>
        <v>0.999193392772255-0.0283477211248922i</v>
      </c>
      <c r="AE76" s="24" t="str">
        <f t="shared" si="31"/>
        <v>0.999999985348445-0.000153733413535574i</v>
      </c>
      <c r="AF76" s="24" t="str">
        <f t="shared" ref="AF76:AF139" si="45">IMPRODUCT(AB76,AC$2,AD76,AE76)</f>
        <v>8.17807821276863-0.2332752884549i</v>
      </c>
      <c r="AG76" s="24">
        <f t="shared" si="32"/>
        <v>8.1814045624430936</v>
      </c>
      <c r="AH76" s="24">
        <f t="shared" si="38"/>
        <v>-2.85167303980179E-2</v>
      </c>
      <c r="AI76" s="24">
        <f t="shared" si="27"/>
        <v>-1.633888297318846</v>
      </c>
      <c r="AJ76" s="24">
        <f t="shared" si="39"/>
        <v>18.2565573725816</v>
      </c>
      <c r="AL76" s="24" t="str">
        <f t="shared" si="40"/>
        <v>0.236562720916553-0.424971528445271i</v>
      </c>
      <c r="AM76" s="24" t="str">
        <f t="shared" si="41"/>
        <v>1.0000025304726+0.013349815119307i</v>
      </c>
      <c r="AN76" s="24" t="str">
        <f t="shared" si="42"/>
        <v>-81.432733015116+141.801482057967i</v>
      </c>
      <c r="AO76" s="24">
        <f t="shared" si="33"/>
        <v>163.52048899189089</v>
      </c>
      <c r="AP76" s="24">
        <f t="shared" si="34"/>
        <v>2.0920839187789584</v>
      </c>
      <c r="AQ76" s="24">
        <f t="shared" si="35"/>
        <v>119.86757893322442</v>
      </c>
      <c r="AR76" s="24">
        <f t="shared" si="36"/>
        <v>44.271443543427303</v>
      </c>
      <c r="AS76" s="24">
        <f t="shared" si="43"/>
        <v>62.528000916008907</v>
      </c>
      <c r="AT76" s="24">
        <f t="shared" si="44"/>
        <v>118.23369063590557</v>
      </c>
    </row>
    <row r="77" spans="3:46">
      <c r="D77" s="13"/>
      <c r="Y77" s="24">
        <v>75</v>
      </c>
      <c r="Z77" s="24">
        <f t="shared" si="28"/>
        <v>100.78792527267464</v>
      </c>
      <c r="AA77" s="24" t="str">
        <f t="shared" si="37"/>
        <v>633.269211214383i</v>
      </c>
      <c r="AB77" s="24">
        <f t="shared" si="29"/>
        <v>9.4210346008907155</v>
      </c>
      <c r="AD77" s="24" t="str">
        <f t="shared" si="30"/>
        <v>0.999087904424927-0.0301428476011959i</v>
      </c>
      <c r="AE77" s="24" t="str">
        <f t="shared" si="31"/>
        <v>0.999999983430556-0.000163485930526407i</v>
      </c>
      <c r="AF77" s="24" t="str">
        <f t="shared" si="45"/>
        <v>8.17721014015629-0.24804750393756i</v>
      </c>
      <c r="AG77" s="24">
        <f t="shared" si="32"/>
        <v>8.1809714117875085</v>
      </c>
      <c r="AH77" s="24">
        <f t="shared" si="38"/>
        <v>-3.0324702584840116E-2</v>
      </c>
      <c r="AI77" s="24">
        <f t="shared" si="27"/>
        <v>-1.7374774731007967</v>
      </c>
      <c r="AJ77" s="24">
        <f t="shared" si="39"/>
        <v>18.256097500641502</v>
      </c>
      <c r="AL77" s="24" t="str">
        <f t="shared" si="40"/>
        <v>0.215069926136235-0.410870847113773i</v>
      </c>
      <c r="AM77" s="24" t="str">
        <f t="shared" si="41"/>
        <v>1.0000028617116+0.0141966986115562i</v>
      </c>
      <c r="AN77" s="24" t="str">
        <f t="shared" si="42"/>
        <v>-74.2611938039908+137.096512590997i</v>
      </c>
      <c r="AO77" s="24">
        <f t="shared" si="33"/>
        <v>155.91721736167332</v>
      </c>
      <c r="AP77" s="24">
        <f t="shared" si="34"/>
        <v>2.0672223669854923</v>
      </c>
      <c r="AQ77" s="24">
        <f t="shared" si="35"/>
        <v>118.44311694331292</v>
      </c>
      <c r="AR77" s="24">
        <f t="shared" si="36"/>
        <v>43.857881507407541</v>
      </c>
      <c r="AS77" s="24">
        <f t="shared" si="43"/>
        <v>62.113979008049043</v>
      </c>
      <c r="AT77" s="24">
        <f t="shared" si="44"/>
        <v>116.70563947021212</v>
      </c>
    </row>
    <row r="78" spans="3:46">
      <c r="D78" s="13"/>
      <c r="Y78" s="24">
        <v>76</v>
      </c>
      <c r="Z78" s="24">
        <f t="shared" si="28"/>
        <v>107.18169448207877</v>
      </c>
      <c r="AA78" s="24" t="str">
        <f t="shared" si="37"/>
        <v>673.442447968409i</v>
      </c>
      <c r="AB78" s="24">
        <f t="shared" si="29"/>
        <v>9.4210346008907155</v>
      </c>
      <c r="AD78" s="24" t="str">
        <f t="shared" si="30"/>
        <v>0.998968634560183-0.0320512070767545i</v>
      </c>
      <c r="AE78" s="24" t="str">
        <f t="shared" si="31"/>
        <v>0.999999981261615-0.000173857126195303i</v>
      </c>
      <c r="AF78" s="24" t="str">
        <f t="shared" si="45"/>
        <v>8.17622865826104-0.263751521310136i</v>
      </c>
      <c r="AG78" s="24">
        <f t="shared" si="32"/>
        <v>8.1804816445709676</v>
      </c>
      <c r="AH78" s="24">
        <f t="shared" si="38"/>
        <v>-3.2247152419908269E-2</v>
      </c>
      <c r="AI78" s="24">
        <f t="shared" si="27"/>
        <v>-1.8476257349758232</v>
      </c>
      <c r="AJ78" s="24">
        <f t="shared" si="39"/>
        <v>18.255577490104805</v>
      </c>
      <c r="AL78" s="24" t="str">
        <f t="shared" si="40"/>
        <v>0.195030999368472-0.396224568463147i</v>
      </c>
      <c r="AM78" s="24" t="str">
        <f t="shared" si="41"/>
        <v>1.0000032363098+0.0150973065575865i</v>
      </c>
      <c r="AN78" s="24" t="str">
        <f t="shared" si="42"/>
        <v>-67.5747693262571+132.209494598508i</v>
      </c>
      <c r="AO78" s="24">
        <f t="shared" si="33"/>
        <v>148.47794419202393</v>
      </c>
      <c r="AP78" s="24">
        <f t="shared" si="34"/>
        <v>2.0432994251706589</v>
      </c>
      <c r="AQ78" s="24">
        <f t="shared" si="35"/>
        <v>117.07243334378593</v>
      </c>
      <c r="AR78" s="24">
        <f t="shared" si="36"/>
        <v>43.433238914532254</v>
      </c>
      <c r="AS78" s="24">
        <f t="shared" si="43"/>
        <v>61.688816404637059</v>
      </c>
      <c r="AT78" s="24">
        <f t="shared" si="44"/>
        <v>115.22480760881011</v>
      </c>
    </row>
    <row r="79" spans="3:46">
      <c r="D79" s="13"/>
      <c r="Y79" s="24">
        <v>77</v>
      </c>
      <c r="Z79" s="24">
        <f t="shared" si="28"/>
        <v>113.98107065871142</v>
      </c>
      <c r="AA79" s="24" t="str">
        <f t="shared" si="37"/>
        <v>716.164188459414i</v>
      </c>
      <c r="AB79" s="24">
        <f t="shared" si="29"/>
        <v>9.4210346008907155</v>
      </c>
      <c r="AD79" s="24" t="str">
        <f t="shared" si="30"/>
        <v>0.998833786671265-0.0340798522216184i</v>
      </c>
      <c r="AE79" s="24" t="str">
        <f t="shared" si="31"/>
        <v>0.99999997880876-0.00018488624818199i</v>
      </c>
      <c r="AF79" s="24" t="str">
        <f t="shared" si="45"/>
        <v>8.17511898347546-0.280445377461605i</v>
      </c>
      <c r="AG79" s="24">
        <f t="shared" si="32"/>
        <v>8.1799278727700546</v>
      </c>
      <c r="AH79" s="24">
        <f t="shared" si="38"/>
        <v>-3.4291298366560675E-2</v>
      </c>
      <c r="AI79" s="24">
        <f t="shared" si="27"/>
        <v>-1.9647466704277805</v>
      </c>
      <c r="AJ79" s="24">
        <f t="shared" si="39"/>
        <v>18.254989485172025</v>
      </c>
      <c r="AL79" s="24" t="str">
        <f t="shared" si="40"/>
        <v>0.17643948446242-0.381193642109959i</v>
      </c>
      <c r="AM79" s="24" t="str">
        <f t="shared" si="41"/>
        <v>1.00000365994292+0.0160550471184558i</v>
      </c>
      <c r="AN79" s="24" t="str">
        <f t="shared" si="42"/>
        <v>-61.3713053463373+127.19413254726i</v>
      </c>
      <c r="AO79" s="24">
        <f t="shared" si="33"/>
        <v>141.22600495079976</v>
      </c>
      <c r="AP79" s="24">
        <f t="shared" si="34"/>
        <v>2.0203470488118547</v>
      </c>
      <c r="AQ79" s="24">
        <f t="shared" si="35"/>
        <v>115.7573590486306</v>
      </c>
      <c r="AR79" s="24">
        <f t="shared" si="36"/>
        <v>42.998293476350554</v>
      </c>
      <c r="AS79" s="24">
        <f t="shared" si="43"/>
        <v>61.253282961522579</v>
      </c>
      <c r="AT79" s="24">
        <f t="shared" si="44"/>
        <v>113.79261237820282</v>
      </c>
    </row>
    <row r="80" spans="3:46">
      <c r="D80" s="13"/>
      <c r="Y80" s="24">
        <v>78</v>
      </c>
      <c r="Z80" s="24">
        <f t="shared" si="28"/>
        <v>121.21178463621371</v>
      </c>
      <c r="AA80" s="24" t="str">
        <f t="shared" si="37"/>
        <v>761.596104283274i</v>
      </c>
      <c r="AB80" s="24">
        <f t="shared" si="29"/>
        <v>9.4210346008907155</v>
      </c>
      <c r="AD80" s="24" t="str">
        <f t="shared" si="30"/>
        <v>0.998681331173572-0.0362362567613769i</v>
      </c>
      <c r="AE80" s="24" t="str">
        <f t="shared" si="31"/>
        <v>0.999999976034825-0.000196615033911041i</v>
      </c>
      <c r="AF80" s="24" t="str">
        <f t="shared" si="45"/>
        <v>8.17386441417465-0.298190574174363i</v>
      </c>
      <c r="AG80" s="24">
        <f t="shared" si="32"/>
        <v>8.1793017476944279</v>
      </c>
      <c r="AH80" s="24">
        <f t="shared" si="38"/>
        <v>-3.6464807968329321E-2</v>
      </c>
      <c r="AI80" s="24">
        <f t="shared" si="27"/>
        <v>-2.0892795973402842</v>
      </c>
      <c r="AJ80" s="24">
        <f t="shared" si="39"/>
        <v>18.25432460627059</v>
      </c>
      <c r="AL80" s="24" t="str">
        <f t="shared" si="40"/>
        <v>0.159269568723802-0.365927278570942i</v>
      </c>
      <c r="AM80" s="24" t="str">
        <f t="shared" si="41"/>
        <v>1.00000413902964+0.017073544661074i</v>
      </c>
      <c r="AN80" s="24" t="str">
        <f t="shared" si="42"/>
        <v>-55.6421888962283+122.100213905289i</v>
      </c>
      <c r="AO80" s="24">
        <f t="shared" si="33"/>
        <v>134.18090557482788</v>
      </c>
      <c r="AP80" s="24">
        <f t="shared" si="34"/>
        <v>1.9983878580569874</v>
      </c>
      <c r="AQ80" s="24">
        <f t="shared" si="35"/>
        <v>114.49919009685401</v>
      </c>
      <c r="AR80" s="24">
        <f t="shared" si="36"/>
        <v>42.553814371280474</v>
      </c>
      <c r="AS80" s="24">
        <f t="shared" si="43"/>
        <v>60.808138977551067</v>
      </c>
      <c r="AT80" s="24">
        <f t="shared" si="44"/>
        <v>112.40991049951373</v>
      </c>
    </row>
    <row r="81" spans="4:46">
      <c r="D81" s="13"/>
      <c r="Y81" s="24">
        <v>79</v>
      </c>
      <c r="Z81" s="24">
        <f t="shared" si="28"/>
        <v>128.90119955697148</v>
      </c>
      <c r="AA81" s="24" t="str">
        <f t="shared" si="37"/>
        <v>809.910123134187i</v>
      </c>
      <c r="AB81" s="24">
        <f t="shared" si="29"/>
        <v>9.4210346008907155</v>
      </c>
      <c r="AD81" s="24" t="str">
        <f t="shared" si="30"/>
        <v>0.998508975473864-0.0385283368884308i</v>
      </c>
      <c r="AE81" s="24" t="str">
        <f t="shared" si="31"/>
        <v>0.999999972897781-0.000209087868538262i</v>
      </c>
      <c r="AF81" s="24" t="str">
        <f t="shared" si="45"/>
        <v>8.1724460844132-0.317052254318872i</v>
      </c>
      <c r="AG81" s="24">
        <f t="shared" si="32"/>
        <v>8.1785938360215287</v>
      </c>
      <c r="AH81" s="24">
        <f t="shared" si="38"/>
        <v>-3.8775824553615376E-2</v>
      </c>
      <c r="AI81" s="24">
        <f t="shared" si="27"/>
        <v>-2.2216910940619106</v>
      </c>
      <c r="AJ81" s="24">
        <f t="shared" si="39"/>
        <v>18.253572817308907</v>
      </c>
      <c r="AL81" s="24" t="str">
        <f t="shared" si="40"/>
        <v>0.143479419921415-0.350561087373413i</v>
      </c>
      <c r="AM81" s="24" t="str">
        <f t="shared" si="41"/>
        <v>1.00000468082883+0.0181566534737246i</v>
      </c>
      <c r="AN81" s="24" t="str">
        <f t="shared" si="42"/>
        <v>-50.3734617404157+116.97298788237i</v>
      </c>
      <c r="AO81" s="24">
        <f t="shared" si="33"/>
        <v>127.35841370652433</v>
      </c>
      <c r="AP81" s="24">
        <f t="shared" si="34"/>
        <v>1.9774359346100445</v>
      </c>
      <c r="AQ81" s="24">
        <f t="shared" si="35"/>
        <v>113.29873331066298</v>
      </c>
      <c r="AR81" s="24">
        <f t="shared" si="36"/>
        <v>42.100552822759823</v>
      </c>
      <c r="AS81" s="24">
        <f t="shared" si="43"/>
        <v>60.35412564006873</v>
      </c>
      <c r="AT81" s="24">
        <f t="shared" si="44"/>
        <v>111.07704221660107</v>
      </c>
    </row>
    <row r="82" spans="4:46">
      <c r="D82" s="13"/>
      <c r="Y82" s="24">
        <v>80</v>
      </c>
      <c r="Z82" s="24">
        <f t="shared" si="28"/>
        <v>137.07841442227294</v>
      </c>
      <c r="AA82" s="24" t="str">
        <f t="shared" si="37"/>
        <v>861.2890794295i</v>
      </c>
      <c r="AB82" s="24">
        <f t="shared" si="29"/>
        <v>9.4210346008907155</v>
      </c>
      <c r="AD82" s="24" t="str">
        <f t="shared" si="30"/>
        <v>0.998314130281967-0.0409644729720319i</v>
      </c>
      <c r="AE82" s="24" t="str">
        <f t="shared" si="31"/>
        <v>0.9999999693501-0.000222351952916824i</v>
      </c>
      <c r="AF82" s="24" t="str">
        <f t="shared" si="45"/>
        <v>8.17084268670132-0.337099380506853i</v>
      </c>
      <c r="AG82" s="24">
        <f t="shared" si="32"/>
        <v>8.17779348009954</v>
      </c>
      <c r="AH82" s="24">
        <f t="shared" si="38"/>
        <v>-4.1232995275839526E-2</v>
      </c>
      <c r="AI82" s="24">
        <f t="shared" si="27"/>
        <v>-2.3624766059884665</v>
      </c>
      <c r="AJ82" s="24">
        <f t="shared" si="39"/>
        <v>18.252722775905415</v>
      </c>
      <c r="AL82" s="24" t="str">
        <f t="shared" si="40"/>
        <v>0.129014495946599-0.335215983780971i</v>
      </c>
      <c r="AM82" s="24" t="str">
        <f t="shared" si="41"/>
        <v>1.00000529354955+0.019308472351646i</v>
      </c>
      <c r="AN82" s="24" t="str">
        <f t="shared" si="42"/>
        <v>-45.5469247158526+111.852800635745i</v>
      </c>
      <c r="AO82" s="24">
        <f t="shared" si="33"/>
        <v>120.77073884485125</v>
      </c>
      <c r="AP82" s="24">
        <f t="shared" si="34"/>
        <v>1.957497709855752</v>
      </c>
      <c r="AQ82" s="24">
        <f t="shared" si="35"/>
        <v>112.15635718125876</v>
      </c>
      <c r="AR82" s="24">
        <f t="shared" si="36"/>
        <v>41.639234464249256</v>
      </c>
      <c r="AS82" s="24">
        <f t="shared" si="43"/>
        <v>59.891957240154667</v>
      </c>
      <c r="AT82" s="24">
        <f t="shared" si="44"/>
        <v>109.79388057527029</v>
      </c>
    </row>
    <row r="83" spans="4:46">
      <c r="D83" s="13"/>
      <c r="Y83" s="24">
        <v>81</v>
      </c>
      <c r="Z83" s="24">
        <f t="shared" si="28"/>
        <v>145.77437421146283</v>
      </c>
      <c r="AA83" s="24" t="str">
        <f t="shared" si="37"/>
        <v>915.927406208762i</v>
      </c>
      <c r="AB83" s="24">
        <f t="shared" si="29"/>
        <v>9.4210346008907155</v>
      </c>
      <c r="AD83" s="24" t="str">
        <f t="shared" si="30"/>
        <v>0.998093871717384-0.0435535313764849i</v>
      </c>
      <c r="AE83" s="24" t="str">
        <f t="shared" si="31"/>
        <v>0.999999965338025-0.000236457482218746i</v>
      </c>
      <c r="AF83" s="24" t="str">
        <f t="shared" si="45"/>
        <v>8.16903016017684-0.358404914634518i</v>
      </c>
      <c r="AG83" s="24">
        <f t="shared" si="32"/>
        <v>8.1768886405963137</v>
      </c>
      <c r="AH83" s="24">
        <f t="shared" si="38"/>
        <v>-4.3845500502151594E-2</v>
      </c>
      <c r="AI83" s="24">
        <f t="shared" si="27"/>
        <v>-2.512162129412018</v>
      </c>
      <c r="AJ83" s="24">
        <f t="shared" si="39"/>
        <v>18.251761664461586</v>
      </c>
      <c r="AL83" s="24" t="str">
        <f t="shared" si="40"/>
        <v>0.115810682188927-0.319997762616963i</v>
      </c>
      <c r="AM83" s="24" t="str">
        <f t="shared" si="41"/>
        <v>1.00000598647544+0.0205333601078651i</v>
      </c>
      <c r="AN83" s="24" t="str">
        <f t="shared" si="42"/>
        <v>-41.1411845857034+106.774953067596i</v>
      </c>
      <c r="AO83" s="24">
        <f t="shared" si="33"/>
        <v>114.4267786477547</v>
      </c>
      <c r="AP83" s="24">
        <f t="shared" si="34"/>
        <v>1.9385728999945182</v>
      </c>
      <c r="AQ83" s="24">
        <f t="shared" si="35"/>
        <v>111.07204544812251</v>
      </c>
      <c r="AR83" s="24">
        <f t="shared" si="36"/>
        <v>41.170553436345756</v>
      </c>
      <c r="AS83" s="24">
        <f t="shared" si="43"/>
        <v>59.422315100807339</v>
      </c>
      <c r="AT83" s="24">
        <f t="shared" si="44"/>
        <v>108.55988331871049</v>
      </c>
    </row>
    <row r="84" spans="4:46">
      <c r="D84" s="13"/>
      <c r="Y84" s="24">
        <v>82</v>
      </c>
      <c r="Z84" s="24">
        <f t="shared" si="28"/>
        <v>155.02198698682062</v>
      </c>
      <c r="AA84" s="24" t="str">
        <f t="shared" si="37"/>
        <v>974.031870925376i</v>
      </c>
      <c r="AB84" s="24">
        <f t="shared" si="29"/>
        <v>9.4210346008907155</v>
      </c>
      <c r="AD84" s="24" t="str">
        <f t="shared" si="30"/>
        <v>0.997844898716749-0.0463048861441907i</v>
      </c>
      <c r="AE84" s="24" t="str">
        <f t="shared" si="31"/>
        <v>0.999999960800771-0.000251457835887692i</v>
      </c>
      <c r="AF84" s="24" t="str">
        <f t="shared" si="45"/>
        <v>8.16698134010765-0.381045996313535i</v>
      </c>
      <c r="AG84" s="24">
        <f t="shared" si="32"/>
        <v>8.1758657193579882</v>
      </c>
      <c r="AH84" s="24">
        <f t="shared" si="38"/>
        <v>-4.6623084550474599E-2</v>
      </c>
      <c r="AI84" s="24">
        <f t="shared" si="27"/>
        <v>-2.6713059726237876</v>
      </c>
      <c r="AJ84" s="24">
        <f t="shared" si="39"/>
        <v>18.250674999695448</v>
      </c>
      <c r="AL84" s="24" t="str">
        <f t="shared" si="40"/>
        <v>0.103797154476088-0.304997221624648i</v>
      </c>
      <c r="AM84" s="24" t="str">
        <f t="shared" si="41"/>
        <v>1.00000677010535+0.0218359520679704i</v>
      </c>
      <c r="AN84" s="24" t="str">
        <f t="shared" si="42"/>
        <v>-37.1326093215978+101.769741987426i</v>
      </c>
      <c r="AO84" s="24">
        <f t="shared" si="33"/>
        <v>108.33241001296736</v>
      </c>
      <c r="AP84" s="24">
        <f t="shared" si="34"/>
        <v>1.9206554507697733</v>
      </c>
      <c r="AQ84" s="24">
        <f t="shared" si="35"/>
        <v>110.04545122790466</v>
      </c>
      <c r="AR84" s="24">
        <f t="shared" si="36"/>
        <v>40.69516809540292</v>
      </c>
      <c r="AS84" s="24">
        <f t="shared" si="43"/>
        <v>58.945843095098368</v>
      </c>
      <c r="AT84" s="24">
        <f t="shared" si="44"/>
        <v>107.37414525528088</v>
      </c>
    </row>
    <row r="85" spans="4:46">
      <c r="D85" s="13"/>
      <c r="Y85" s="24">
        <v>83</v>
      </c>
      <c r="Z85" s="24">
        <f t="shared" si="28"/>
        <v>164.85624842731968</v>
      </c>
      <c r="AA85" s="24" t="str">
        <f t="shared" si="37"/>
        <v>1035.82235791528i</v>
      </c>
      <c r="AB85" s="24">
        <f t="shared" si="29"/>
        <v>9.4210346008907155</v>
      </c>
      <c r="AD85" s="24" t="str">
        <f t="shared" si="30"/>
        <v>0.997563485198833-0.0492284402365613i</v>
      </c>
      <c r="AE85" s="24" t="str">
        <f t="shared" si="31"/>
        <v>0.99999995566959-0.000267409779641888i</v>
      </c>
      <c r="AF85" s="24" t="str">
        <f t="shared" si="45"/>
        <v>8.1646655642533-0.405104117663637i</v>
      </c>
      <c r="AG85" s="24">
        <f t="shared" si="32"/>
        <v>8.1747093601088778</v>
      </c>
      <c r="AH85" s="24">
        <f t="shared" si="38"/>
        <v>-4.9576087757766375E-2</v>
      </c>
      <c r="AI85" s="24">
        <f t="shared" si="27"/>
        <v>-2.8405005932902019</v>
      </c>
      <c r="AJ85" s="24">
        <f t="shared" si="39"/>
        <v>18.249446417974298</v>
      </c>
      <c r="AL85" s="24" t="str">
        <f t="shared" si="40"/>
        <v>0.0928989047482389-0.290290713328581i</v>
      </c>
      <c r="AM85" s="24" t="str">
        <f t="shared" si="41"/>
        <v>1.00000765631245+0.0232211776112377i</v>
      </c>
      <c r="AN85" s="24" t="str">
        <f t="shared" si="42"/>
        <v>-33.4961708498966+96.8626442532634i</v>
      </c>
      <c r="AO85" s="24">
        <f t="shared" si="33"/>
        <v>102.49080599419501</v>
      </c>
      <c r="AP85" s="24">
        <f t="shared" si="34"/>
        <v>1.9037344617645671</v>
      </c>
      <c r="AQ85" s="24">
        <f t="shared" si="35"/>
        <v>109.07594997271909</v>
      </c>
      <c r="AR85" s="24">
        <f t="shared" si="36"/>
        <v>40.213698169284143</v>
      </c>
      <c r="AS85" s="24">
        <f t="shared" si="43"/>
        <v>58.463144587258441</v>
      </c>
      <c r="AT85" s="24">
        <f t="shared" si="44"/>
        <v>106.23544937942889</v>
      </c>
    </row>
    <row r="86" spans="4:46">
      <c r="D86" s="13"/>
      <c r="Y86" s="24">
        <v>84</v>
      </c>
      <c r="Z86" s="24">
        <f t="shared" si="28"/>
        <v>175.3143742625403</v>
      </c>
      <c r="AA86" s="24" t="str">
        <f t="shared" si="37"/>
        <v>1101.53270050378i</v>
      </c>
      <c r="AB86" s="24">
        <f t="shared" si="29"/>
        <v>9.4210346008907155</v>
      </c>
      <c r="AD86" s="24" t="str">
        <f t="shared" si="30"/>
        <v>0.997245426392262-0.0523346459492607i</v>
      </c>
      <c r="AE86" s="24" t="str">
        <f t="shared" si="31"/>
        <v>0.999999949866737-0.00028437368029158i</v>
      </c>
      <c r="AF86" s="24" t="str">
        <f t="shared" si="45"/>
        <v>8.16204823119134-0.430665291310644i</v>
      </c>
      <c r="AG86" s="24">
        <f t="shared" si="32"/>
        <v>8.173402224375927</v>
      </c>
      <c r="AH86" s="24">
        <f t="shared" si="38"/>
        <v>-5.2715479841172627E-2</v>
      </c>
      <c r="AI86" s="24">
        <f t="shared" si="27"/>
        <v>-3.020374509906163</v>
      </c>
      <c r="AJ86" s="24">
        <f t="shared" si="39"/>
        <v>18.248057433481023</v>
      </c>
      <c r="AL86" s="24" t="str">
        <f t="shared" si="40"/>
        <v>0.083038900045311-0.275941010226055i</v>
      </c>
      <c r="AM86" s="24" t="str">
        <f t="shared" si="41"/>
        <v>1.00000865852408+0.0246942788244819i</v>
      </c>
      <c r="AN86" s="24" t="str">
        <f t="shared" si="42"/>
        <v>-30.2061654448314+92.0746054622903i</v>
      </c>
      <c r="AO86" s="24">
        <f t="shared" si="33"/>
        <v>96.902762612409276</v>
      </c>
      <c r="AP86" s="24">
        <f t="shared" si="34"/>
        <v>1.8877950675486397</v>
      </c>
      <c r="AQ86" s="24">
        <f t="shared" si="35"/>
        <v>108.16268995615121</v>
      </c>
      <c r="AR86" s="24">
        <f t="shared" si="36"/>
        <v>39.726723171608157</v>
      </c>
      <c r="AS86" s="24">
        <f t="shared" si="43"/>
        <v>57.97478060508918</v>
      </c>
      <c r="AT86" s="24">
        <f t="shared" si="44"/>
        <v>105.14231544624505</v>
      </c>
    </row>
    <row r="87" spans="4:46">
      <c r="D87" s="13"/>
      <c r="Y87" s="24">
        <v>85</v>
      </c>
      <c r="Z87" s="24">
        <f t="shared" si="28"/>
        <v>186.43594110790573</v>
      </c>
      <c r="AA87" s="24" t="str">
        <f t="shared" si="37"/>
        <v>1171.41156589939i</v>
      </c>
      <c r="AB87" s="24">
        <f t="shared" si="29"/>
        <v>9.4210346008907155</v>
      </c>
      <c r="AD87" s="24" t="str">
        <f t="shared" si="30"/>
        <v>0.996885978678075-0.0556345240264054i</v>
      </c>
      <c r="AE87" s="24" t="str">
        <f t="shared" si="31"/>
        <v>0.999999943304289-0.000302413734183944i</v>
      </c>
      <c r="AF87" s="24" t="str">
        <f t="shared" si="45"/>
        <v>8.15909030527649-0.457820207678073i</v>
      </c>
      <c r="AG87" s="24">
        <f t="shared" si="32"/>
        <v>8.1719247397547168</v>
      </c>
      <c r="AH87" s="24">
        <f t="shared" si="38"/>
        <v>-5.6052894487363947E-2</v>
      </c>
      <c r="AI87" s="24">
        <f t="shared" si="27"/>
        <v>-3.2115942836180724</v>
      </c>
      <c r="AJ87" s="24">
        <f t="shared" si="39"/>
        <v>18.246487165914658</v>
      </c>
      <c r="AL87" s="24" t="str">
        <f t="shared" si="40"/>
        <v>0.0741398717891266-0.261998380148081i</v>
      </c>
      <c r="AM87" s="24" t="str">
        <f t="shared" si="41"/>
        <v>1.00000979192524+0.0262608303392085i</v>
      </c>
      <c r="AN87" s="24" t="str">
        <f t="shared" si="42"/>
        <v>-27.2368107614577+87.4223987691676i</v>
      </c>
      <c r="AO87" s="24">
        <f t="shared" si="33"/>
        <v>91.56702281395205</v>
      </c>
      <c r="AP87" s="24">
        <f t="shared" si="34"/>
        <v>1.8728192596956299</v>
      </c>
      <c r="AQ87" s="24">
        <f t="shared" si="35"/>
        <v>107.30463937137488</v>
      </c>
      <c r="AR87" s="24">
        <f t="shared" si="36"/>
        <v>39.234781877600071</v>
      </c>
      <c r="AS87" s="24">
        <f t="shared" si="43"/>
        <v>57.481269043514729</v>
      </c>
      <c r="AT87" s="24">
        <f t="shared" si="44"/>
        <v>104.09304508775681</v>
      </c>
    </row>
    <row r="88" spans="4:46">
      <c r="D88" s="13"/>
      <c r="Y88" s="24">
        <v>86</v>
      </c>
      <c r="Z88" s="24">
        <f t="shared" si="28"/>
        <v>198.26303623420247</v>
      </c>
      <c r="AA88" s="24" t="str">
        <f t="shared" si="37"/>
        <v>1245.72339622355i</v>
      </c>
      <c r="AB88" s="24">
        <f t="shared" si="29"/>
        <v>9.4210346008907155</v>
      </c>
      <c r="AD88" s="24" t="str">
        <f t="shared" si="30"/>
        <v>0.996479792245978-0.0591396808886574i</v>
      </c>
      <c r="AE88" s="24" t="str">
        <f t="shared" si="31"/>
        <v>0.999999935882818-0.000321598210139941i</v>
      </c>
      <c r="AF88" s="24" t="str">
        <f t="shared" si="45"/>
        <v>8.15574776246331-0.486664376757753i</v>
      </c>
      <c r="AG88" s="24">
        <f t="shared" si="32"/>
        <v>8.1702548173560849</v>
      </c>
      <c r="AH88" s="24">
        <f t="shared" si="38"/>
        <v>-5.9600665072767185E-2</v>
      </c>
      <c r="AI88" s="24">
        <f t="shared" si="27"/>
        <v>-3.4148665648423351</v>
      </c>
      <c r="AJ88" s="24">
        <f t="shared" si="39"/>
        <v>18.24471203406539</v>
      </c>
      <c r="AL88" s="24" t="str">
        <f t="shared" si="40"/>
        <v>0.0661257516853931-0.248501783996483i</v>
      </c>
      <c r="AM88" s="24" t="str">
        <f t="shared" si="41"/>
        <v>1.00001107368863+0.0279267604271255i</v>
      </c>
      <c r="AN88" s="24" t="str">
        <f t="shared" si="42"/>
        <v>-24.562724955626+82.9190245378555i</v>
      </c>
      <c r="AO88" s="24">
        <f t="shared" si="33"/>
        <v>86.480587923274527</v>
      </c>
      <c r="AP88" s="24">
        <f t="shared" si="34"/>
        <v>1.8587866395731121</v>
      </c>
      <c r="AQ88" s="24">
        <f t="shared" si="35"/>
        <v>106.50062946284424</v>
      </c>
      <c r="AR88" s="24">
        <f t="shared" si="36"/>
        <v>38.738372668619682</v>
      </c>
      <c r="AS88" s="24">
        <f t="shared" si="43"/>
        <v>56.983084702685076</v>
      </c>
      <c r="AT88" s="24">
        <f t="shared" si="44"/>
        <v>103.0857628980019</v>
      </c>
    </row>
    <row r="89" spans="4:46">
      <c r="D89" s="13"/>
      <c r="Y89" s="24">
        <v>87</v>
      </c>
      <c r="Z89" s="24">
        <f t="shared" si="28"/>
        <v>210.84041683815525</v>
      </c>
      <c r="AA89" s="24" t="str">
        <f t="shared" si="37"/>
        <v>1324.74940923712i</v>
      </c>
      <c r="AB89" s="24">
        <f t="shared" si="29"/>
        <v>9.4210346008907155</v>
      </c>
      <c r="AD89" s="24" t="str">
        <f t="shared" si="30"/>
        <v>0.996020835811194-0.0628623232594859i</v>
      </c>
      <c r="AE89" s="24" t="str">
        <f t="shared" si="31"/>
        <v>0.999999927489874-0.000341999707802384i</v>
      </c>
      <c r="AF89" s="24" t="str">
        <f t="shared" si="45"/>
        <v>8.15197097079463-0.517298248469696i</v>
      </c>
      <c r="AG89" s="24">
        <f t="shared" si="32"/>
        <v>8.168367534982016</v>
      </c>
      <c r="AH89" s="24">
        <f t="shared" si="38"/>
        <v>-6.3371861377408911E-2</v>
      </c>
      <c r="AI89" s="24">
        <f t="shared" si="27"/>
        <v>-3.6309401968136386</v>
      </c>
      <c r="AJ89" s="24">
        <f t="shared" si="39"/>
        <v>18.242705411213542</v>
      </c>
      <c r="AL89" s="24" t="str">
        <f t="shared" si="40"/>
        <v>0.0589227834862594-0.235480124580591i</v>
      </c>
      <c r="AM89" s="24" t="str">
        <f t="shared" si="41"/>
        <v>1.00001252323487+0.0296983734338236i</v>
      </c>
      <c r="AN89" s="24" t="str">
        <f t="shared" si="42"/>
        <v>-22.1592976477709+78.5741270439799i</v>
      </c>
      <c r="AO89" s="24">
        <f t="shared" si="33"/>
        <v>81.639009750033097</v>
      </c>
      <c r="AP89" s="24">
        <f t="shared" si="34"/>
        <v>1.845675096700498</v>
      </c>
      <c r="AQ89" s="24">
        <f t="shared" si="35"/>
        <v>105.74939339333862</v>
      </c>
      <c r="AR89" s="24">
        <f t="shared" si="36"/>
        <v>38.237954565000067</v>
      </c>
      <c r="AS89" s="24">
        <f t="shared" si="43"/>
        <v>56.480659976213609</v>
      </c>
      <c r="AT89" s="24">
        <f t="shared" si="44"/>
        <v>102.11845319652498</v>
      </c>
    </row>
    <row r="90" spans="4:46">
      <c r="D90" s="13"/>
      <c r="Y90" s="24">
        <v>88</v>
      </c>
      <c r="Z90" s="24">
        <f t="shared" si="28"/>
        <v>224.21567941678887</v>
      </c>
      <c r="AA90" s="24" t="str">
        <f t="shared" si="37"/>
        <v>1408.78866255086i</v>
      </c>
      <c r="AB90" s="24">
        <f t="shared" si="29"/>
        <v>9.4210346008907155</v>
      </c>
      <c r="AD90" s="24" t="str">
        <f t="shared" si="30"/>
        <v>0.99550231259066-0.0668152693189334i</v>
      </c>
      <c r="AE90" s="24" t="str">
        <f t="shared" si="31"/>
        <v>0.999999917998295-0.000363695432372895i</v>
      </c>
      <c r="AF90" s="24" t="str">
        <f t="shared" si="45"/>
        <v>8.14770399896259-0.549827304446456i</v>
      </c>
      <c r="AG90" s="24">
        <f t="shared" si="32"/>
        <v>8.1662347822864998</v>
      </c>
      <c r="AH90" s="24">
        <f t="shared" si="38"/>
        <v>-6.7380327106334764E-2</v>
      </c>
      <c r="AI90" s="24">
        <f t="shared" si="27"/>
        <v>-3.8606083654039209</v>
      </c>
      <c r="AJ90" s="24">
        <f t="shared" si="39"/>
        <v>18.240437237886272</v>
      </c>
      <c r="AL90" s="24" t="str">
        <f t="shared" si="40"/>
        <v>0.0524603473527825-0.222953491357296i</v>
      </c>
      <c r="AM90" s="24" t="str">
        <f t="shared" si="41"/>
        <v>1.00001416252672+0.0315823736355009i</v>
      </c>
      <c r="AN90" s="24" t="str">
        <f t="shared" si="42"/>
        <v>-20.0029649893953+74.394409810313i</v>
      </c>
      <c r="AO90" s="24">
        <f t="shared" si="33"/>
        <v>77.0366589319122</v>
      </c>
      <c r="AP90" s="24">
        <f t="shared" si="34"/>
        <v>1.833461411351885</v>
      </c>
      <c r="AQ90" s="24">
        <f t="shared" si="35"/>
        <v>105.04960077056232</v>
      </c>
      <c r="AR90" s="24">
        <f t="shared" si="36"/>
        <v>37.733948784796134</v>
      </c>
      <c r="AS90" s="24">
        <f t="shared" si="43"/>
        <v>55.97438602268241</v>
      </c>
      <c r="AT90" s="24">
        <f t="shared" si="44"/>
        <v>101.1889924051584</v>
      </c>
    </row>
    <row r="91" spans="4:46">
      <c r="D91" s="13"/>
      <c r="Y91" s="24">
        <v>89</v>
      </c>
      <c r="Z91" s="24">
        <f t="shared" si="28"/>
        <v>238.43943988652958</v>
      </c>
      <c r="AA91" s="24" t="str">
        <f t="shared" si="37"/>
        <v>1498.15918534717i</v>
      </c>
      <c r="AB91" s="24">
        <f t="shared" si="29"/>
        <v>9.4210346008907155</v>
      </c>
      <c r="AD91" s="24" t="str">
        <f t="shared" si="30"/>
        <v>0.994916566696053-0.0710119553311336i</v>
      </c>
      <c r="AE91" s="24" t="str">
        <f t="shared" si="31"/>
        <v>0.999999907264267-0.000386767486777351i</v>
      </c>
      <c r="AF91" s="24" t="str">
        <f t="shared" si="45"/>
        <v>8.1428838460088-0.584362112570536i</v>
      </c>
      <c r="AG91" s="24">
        <f t="shared" si="32"/>
        <v>8.163824863885738</v>
      </c>
      <c r="AH91" s="24">
        <f t="shared" si="38"/>
        <v>-7.164071797338975E-2</v>
      </c>
      <c r="AI91" s="24">
        <f t="shared" si="27"/>
        <v>-4.104710781162253</v>
      </c>
      <c r="AJ91" s="24">
        <f t="shared" si="39"/>
        <v>18.237873587064257</v>
      </c>
      <c r="AL91" s="24" t="str">
        <f t="shared" si="40"/>
        <v>0.0466715367873837-0.210934360504133i</v>
      </c>
      <c r="AM91" s="24" t="str">
        <f t="shared" si="41"/>
        <v>1.00001601640189+0.0335858906089902i</v>
      </c>
      <c r="AN91" s="24" t="str">
        <f t="shared" si="42"/>
        <v>-18.0714021691421+70.3840360382033i</v>
      </c>
      <c r="AO91" s="24">
        <f t="shared" si="33"/>
        <v>72.666967085368142</v>
      </c>
      <c r="AP91" s="24">
        <f t="shared" si="34"/>
        <v>1.8221217830140191</v>
      </c>
      <c r="AQ91" s="24">
        <f t="shared" si="35"/>
        <v>104.39988792555567</v>
      </c>
      <c r="AR91" s="24">
        <f t="shared" si="36"/>
        <v>37.226740686849659</v>
      </c>
      <c r="AS91" s="24">
        <f t="shared" si="43"/>
        <v>55.464614273913917</v>
      </c>
      <c r="AT91" s="24">
        <f t="shared" si="44"/>
        <v>100.29517714439342</v>
      </c>
    </row>
    <row r="92" spans="4:46">
      <c r="D92" s="13"/>
      <c r="Y92" s="24">
        <v>90</v>
      </c>
      <c r="Z92" s="24">
        <f t="shared" si="28"/>
        <v>253.56552512868072</v>
      </c>
      <c r="AA92" s="24" t="str">
        <f t="shared" si="37"/>
        <v>1593.1991818958i</v>
      </c>
      <c r="AB92" s="24">
        <f t="shared" si="29"/>
        <v>9.4210346008907155</v>
      </c>
      <c r="AD92" s="24" t="str">
        <f t="shared" si="30"/>
        <v>0.994254979070988-0.0754664364764717i</v>
      </c>
      <c r="AE92" s="24" t="str">
        <f t="shared" si="31"/>
        <v>0.999999895125154-0.000411303182365428i</v>
      </c>
      <c r="AF92" s="24" t="str">
        <f t="shared" si="45"/>
        <v>8.1374395849827-0.621018333821252i</v>
      </c>
      <c r="AG92" s="24">
        <f t="shared" si="32"/>
        <v>8.161102056106488</v>
      </c>
      <c r="AH92" s="24">
        <f t="shared" si="38"/>
        <v>-7.6168540030700144E-2</v>
      </c>
      <c r="AI92" s="24">
        <f t="shared" si="27"/>
        <v>-4.36413587543238</v>
      </c>
      <c r="AJ92" s="24">
        <f t="shared" si="39"/>
        <v>18.234976176471065</v>
      </c>
      <c r="AL92" s="24" t="str">
        <f t="shared" si="40"/>
        <v>0.0414935281897167-0.199428722374902i</v>
      </c>
      <c r="AM92" s="24" t="str">
        <f t="shared" si="41"/>
        <v>1.00001811294931+0.0357165062110579i</v>
      </c>
      <c r="AN92" s="24" t="str">
        <f t="shared" si="42"/>
        <v>-16.3436467231456+66.5450048086589i</v>
      </c>
      <c r="AO92" s="24">
        <f t="shared" si="33"/>
        <v>68.522641901749694</v>
      </c>
      <c r="AP92" s="24">
        <f t="shared" si="34"/>
        <v>1.8116322884013776</v>
      </c>
      <c r="AQ92" s="24">
        <f t="shared" si="35"/>
        <v>103.7988841550261</v>
      </c>
      <c r="AR92" s="24">
        <f t="shared" si="36"/>
        <v>36.716681978231669</v>
      </c>
      <c r="AS92" s="24">
        <f t="shared" si="43"/>
        <v>54.951658154702734</v>
      </c>
      <c r="AT92" s="24">
        <f t="shared" si="44"/>
        <v>99.43474827959372</v>
      </c>
    </row>
    <row r="93" spans="4:46">
      <c r="D93" s="13"/>
      <c r="Y93" s="24">
        <v>91</v>
      </c>
      <c r="Z93" s="24">
        <f t="shared" si="28"/>
        <v>269.65117668612646</v>
      </c>
      <c r="AA93" s="24" t="str">
        <f t="shared" si="37"/>
        <v>1694.26831141796i</v>
      </c>
      <c r="AB93" s="24">
        <f t="shared" si="29"/>
        <v>9.4210346008907155</v>
      </c>
      <c r="AD93" s="24" t="str">
        <f t="shared" si="30"/>
        <v>0.993507852086305-0.0801933803672243i</v>
      </c>
      <c r="AE93" s="24" t="str">
        <f t="shared" si="31"/>
        <v>0.99999988139703-0.000437395369319919i</v>
      </c>
      <c r="AF93" s="24" t="str">
        <f t="shared" si="45"/>
        <v>8.13129141326629-0.659916668913252i</v>
      </c>
      <c r="AG93" s="24">
        <f t="shared" si="32"/>
        <v>8.1580261128147686</v>
      </c>
      <c r="AH93" s="24">
        <f t="shared" si="38"/>
        <v>-8.0980187841372508E-2</v>
      </c>
      <c r="AI93" s="24">
        <f t="shared" si="27"/>
        <v>-4.6398229874872694</v>
      </c>
      <c r="AJ93" s="24">
        <f t="shared" si="39"/>
        <v>18.231701822105485</v>
      </c>
      <c r="AL93" s="24" t="str">
        <f t="shared" si="40"/>
        <v>0.0368677810191862-0.188437118800696i</v>
      </c>
      <c r="AM93" s="24" t="str">
        <f t="shared" si="41"/>
        <v>1.00002048393475+0.0379822832690402i</v>
      </c>
      <c r="AN93" s="24" t="str">
        <f t="shared" si="42"/>
        <v>-14.8001653236028+62.877497201453i</v>
      </c>
      <c r="AO93" s="24">
        <f t="shared" si="33"/>
        <v>64.595855501144214</v>
      </c>
      <c r="AP93" s="24">
        <f t="shared" si="34"/>
        <v>1.8019692741120834</v>
      </c>
      <c r="AQ93" s="24">
        <f t="shared" si="35"/>
        <v>103.24523421887494</v>
      </c>
      <c r="AR93" s="24">
        <f t="shared" si="36"/>
        <v>36.204093087231605</v>
      </c>
      <c r="AS93" s="24">
        <f t="shared" si="43"/>
        <v>54.435794909337091</v>
      </c>
      <c r="AT93" s="24">
        <f t="shared" si="44"/>
        <v>98.605411231387677</v>
      </c>
    </row>
    <row r="94" spans="4:46">
      <c r="D94" s="13"/>
      <c r="Y94" s="24">
        <v>92</v>
      </c>
      <c r="Z94" s="24">
        <f t="shared" si="28"/>
        <v>286.75726738211927</v>
      </c>
      <c r="AA94" s="24" t="str">
        <f t="shared" si="37"/>
        <v>1801.7490491423i</v>
      </c>
      <c r="AB94" s="24">
        <f t="shared" si="29"/>
        <v>9.4210346008907155</v>
      </c>
      <c r="AD94" s="24" t="str">
        <f t="shared" si="30"/>
        <v>0.992664281917769-0.0852080514321184i</v>
      </c>
      <c r="AE94" s="24" t="str">
        <f t="shared" si="31"/>
        <v>0.999999865871894-0.000465142788026148i</v>
      </c>
      <c r="AF94" s="24" t="str">
        <f t="shared" si="45"/>
        <v>8.12434960235937-0.701182729794524i</v>
      </c>
      <c r="AG94" s="24">
        <f t="shared" si="32"/>
        <v>8.1545517155708165</v>
      </c>
      <c r="AH94" s="24">
        <f t="shared" si="38"/>
        <v>-8.6092981990301493E-2</v>
      </c>
      <c r="AI94" s="24">
        <f t="shared" si="27"/>
        <v>-4.9327645137400813</v>
      </c>
      <c r="AJ94" s="24">
        <f t="shared" si="39"/>
        <v>18.228001826703945</v>
      </c>
      <c r="AL94" s="24" t="str">
        <f t="shared" si="40"/>
        <v>0.0327401031438995-0.177955580946556i</v>
      </c>
      <c r="AM94" s="24" t="str">
        <f t="shared" si="41"/>
        <v>1.00002316528214+0.040391796091341i</v>
      </c>
      <c r="AN94" s="24" t="str">
        <f t="shared" si="42"/>
        <v>-13.4228755838566+59.3801892325121i</v>
      </c>
      <c r="AO94" s="24">
        <f t="shared" si="33"/>
        <v>60.878407191948121</v>
      </c>
      <c r="AP94" s="24">
        <f t="shared" si="34"/>
        <v>1.7931096898146841</v>
      </c>
      <c r="AQ94" s="24">
        <f t="shared" si="35"/>
        <v>102.73761743039358</v>
      </c>
      <c r="AR94" s="24">
        <f t="shared" si="36"/>
        <v>35.689265622688914</v>
      </c>
      <c r="AS94" s="24">
        <f t="shared" si="43"/>
        <v>53.91726744939286</v>
      </c>
      <c r="AT94" s="24">
        <f t="shared" si="44"/>
        <v>97.804852916653502</v>
      </c>
    </row>
    <row r="95" spans="4:46">
      <c r="D95" s="13"/>
      <c r="Y95" s="24">
        <v>93</v>
      </c>
      <c r="Z95" s="24">
        <f t="shared" si="28"/>
        <v>304.94853168089651</v>
      </c>
      <c r="AA95" s="24" t="str">
        <f t="shared" si="37"/>
        <v>1916.0481337034i</v>
      </c>
      <c r="AB95" s="24">
        <f t="shared" si="29"/>
        <v>9.4210346008907155</v>
      </c>
      <c r="AD95" s="24" t="str">
        <f t="shared" si="30"/>
        <v>0.991712017874097-0.0905262840159037i</v>
      </c>
      <c r="AE95" s="24" t="str">
        <f t="shared" si="31"/>
        <v>0.999999848314518-0.000494650442731049i</v>
      </c>
      <c r="AF95" s="24" t="str">
        <f t="shared" si="45"/>
        <v>8.11651334027784-0.744946818279208i</v>
      </c>
      <c r="AG95" s="24">
        <f t="shared" si="32"/>
        <v>8.1506278632368243</v>
      </c>
      <c r="AH95" s="24">
        <f t="shared" si="38"/>
        <v>-9.1525205305853188E-2</v>
      </c>
      <c r="AI95" s="24">
        <f t="shared" si="27"/>
        <v>-5.2440079830937565</v>
      </c>
      <c r="AJ95" s="24">
        <f t="shared" si="39"/>
        <v>18.223821296361141</v>
      </c>
      <c r="AL95" s="24" t="str">
        <f t="shared" si="40"/>
        <v>0.0290606118560759-0.167976464704513i</v>
      </c>
      <c r="AM95" s="24" t="str">
        <f t="shared" si="41"/>
        <v>1.00002619761782+0.0429541629132018i</v>
      </c>
      <c r="AN95" s="24" t="str">
        <f t="shared" si="42"/>
        <v>-12.1951330503193+56.050530602151i</v>
      </c>
      <c r="AO95" s="24">
        <f t="shared" si="33"/>
        <v>57.361862338121973</v>
      </c>
      <c r="AP95" s="24">
        <f t="shared" si="34"/>
        <v>1.7850313682147494</v>
      </c>
      <c r="AQ95" s="24">
        <f t="shared" si="35"/>
        <v>102.27476369716794</v>
      </c>
      <c r="AR95" s="24">
        <f t="shared" si="36"/>
        <v>35.172464858090329</v>
      </c>
      <c r="AS95" s="24">
        <f t="shared" si="43"/>
        <v>53.396286154451474</v>
      </c>
      <c r="AT95" s="24">
        <f t="shared" si="44"/>
        <v>97.030755714074189</v>
      </c>
    </row>
    <row r="96" spans="4:46">
      <c r="D96" s="13"/>
      <c r="Y96" s="24">
        <v>94</v>
      </c>
      <c r="Z96" s="24">
        <f t="shared" si="28"/>
        <v>324.29381066187881</v>
      </c>
      <c r="AA96" s="24" t="str">
        <f t="shared" si="37"/>
        <v>2037.59810636i</v>
      </c>
      <c r="AB96" s="24">
        <f t="shared" si="29"/>
        <v>9.4210346008907155</v>
      </c>
      <c r="AD96" s="24" t="str">
        <f t="shared" si="30"/>
        <v>0.990637307931499-0.0961644416504483i</v>
      </c>
      <c r="AE96" s="24" t="str">
        <f t="shared" si="31"/>
        <v>0.99999982845888-0.000526029998905802i</v>
      </c>
      <c r="AF96" s="24" t="str">
        <f t="shared" si="45"/>
        <v>8.10766946044424-0.791343590884619i</v>
      </c>
      <c r="AG96" s="24">
        <f t="shared" si="32"/>
        <v>8.1461971961556614</v>
      </c>
      <c r="AH96" s="24">
        <f t="shared" si="38"/>
        <v>-9.7296137020611254E-2</v>
      </c>
      <c r="AI96" s="24">
        <f t="shared" si="27"/>
        <v>-5.5746580142075883</v>
      </c>
      <c r="AJ96" s="24">
        <f t="shared" si="39"/>
        <v>18.219098378111983</v>
      </c>
      <c r="AL96" s="24" t="str">
        <f t="shared" si="40"/>
        <v>0.0257836167041316-0.158489185163487i</v>
      </c>
      <c r="AM96" s="24" t="str">
        <f t="shared" si="41"/>
        <v>1.0000296268861+0.0456790804004561i</v>
      </c>
      <c r="AN96" s="24" t="str">
        <f t="shared" si="42"/>
        <v>-11.1016921068226+52.8849897681805i</v>
      </c>
      <c r="AO96" s="24">
        <f t="shared" si="33"/>
        <v>54.037669365131244</v>
      </c>
      <c r="AP96" s="24">
        <f t="shared" si="34"/>
        <v>1.7777132580743846</v>
      </c>
      <c r="AQ96" s="24">
        <f t="shared" si="35"/>
        <v>101.85546687211315</v>
      </c>
      <c r="AR96" s="24">
        <f t="shared" si="36"/>
        <v>34.653932194235189</v>
      </c>
      <c r="AS96" s="24">
        <f t="shared" si="43"/>
        <v>52.873030572347176</v>
      </c>
      <c r="AT96" s="24">
        <f t="shared" si="44"/>
        <v>96.280808857905569</v>
      </c>
    </row>
    <row r="97" spans="4:46">
      <c r="D97" s="13"/>
      <c r="Y97" s="24">
        <v>95</v>
      </c>
      <c r="Z97" s="24">
        <f t="shared" si="28"/>
        <v>344.8663125345048</v>
      </c>
      <c r="AA97" s="24" t="str">
        <f t="shared" si="37"/>
        <v>2166.858947858i</v>
      </c>
      <c r="AB97" s="24">
        <f t="shared" si="29"/>
        <v>9.4210346008907155</v>
      </c>
      <c r="AD97" s="24" t="str">
        <f t="shared" si="30"/>
        <v>0.989424729878729-0.102139359510532i</v>
      </c>
      <c r="AE97" s="24" t="str">
        <f t="shared" si="31"/>
        <v>0.999999806004137-0.000559400205815665i</v>
      </c>
      <c r="AF97" s="24" t="str">
        <f t="shared" si="45"/>
        <v>8.09769105216598-0.840511585293621i</v>
      </c>
      <c r="AG97" s="24">
        <f t="shared" si="32"/>
        <v>8.1411952501670015</v>
      </c>
      <c r="AH97" s="24">
        <f t="shared" si="38"/>
        <v>-0.10342608392912722</v>
      </c>
      <c r="AI97" s="24">
        <f t="shared" si="27"/>
        <v>-5.9258781007048205</v>
      </c>
      <c r="AJ97" s="24">
        <f t="shared" si="39"/>
        <v>18.213763410916698</v>
      </c>
      <c r="AL97" s="24" t="str">
        <f t="shared" si="40"/>
        <v>0.0228674460520448-0.149480854838008i</v>
      </c>
      <c r="AM97" s="24" t="str">
        <f t="shared" si="41"/>
        <v>1.0000335050454+0.0485768603417658i</v>
      </c>
      <c r="AN97" s="24" t="str">
        <f t="shared" si="42"/>
        <v>-10.1286481023474+49.8792669061269i</v>
      </c>
      <c r="AO97" s="24">
        <f t="shared" si="33"/>
        <v>50.897257091849575</v>
      </c>
      <c r="AP97" s="24">
        <f t="shared" si="34"/>
        <v>1.7711356163432015</v>
      </c>
      <c r="AQ97" s="24">
        <f t="shared" si="35"/>
        <v>101.47859576176724</v>
      </c>
      <c r="AR97" s="24">
        <f t="shared" si="36"/>
        <v>34.133887567374913</v>
      </c>
      <c r="AS97" s="24">
        <f t="shared" si="43"/>
        <v>52.347650978291611</v>
      </c>
      <c r="AT97" s="24">
        <f t="shared" si="44"/>
        <v>95.552717661062417</v>
      </c>
    </row>
    <row r="98" spans="4:46">
      <c r="D98" s="13"/>
      <c r="Y98" s="24">
        <v>96</v>
      </c>
      <c r="Z98" s="24">
        <f t="shared" si="28"/>
        <v>366.74388967956821</v>
      </c>
      <c r="AA98" s="24" t="str">
        <f t="shared" si="37"/>
        <v>2304.31981913255i</v>
      </c>
      <c r="AB98" s="24">
        <f t="shared" si="29"/>
        <v>9.4210346008907155</v>
      </c>
      <c r="AD98" s="24" t="str">
        <f t="shared" si="30"/>
        <v>0.988057007701951-0.108468266568252i</v>
      </c>
      <c r="AE98" s="24" t="str">
        <f t="shared" si="31"/>
        <v>0.999999780610067-0.000594887345895928i</v>
      </c>
      <c r="AF98" s="24" t="str">
        <f t="shared" si="45"/>
        <v>8.08643594965072-0.892592579755074i</v>
      </c>
      <c r="AG98" s="24">
        <f t="shared" si="32"/>
        <v>8.1355496360871253</v>
      </c>
      <c r="AH98" s="24">
        <f t="shared" si="38"/>
        <v>-0.10993640740130195</v>
      </c>
      <c r="AI98" s="24">
        <f t="shared" si="27"/>
        <v>-6.2988921589253879</v>
      </c>
      <c r="AJ98" s="24">
        <f t="shared" si="39"/>
        <v>18.207737982227354</v>
      </c>
      <c r="AL98" s="24" t="str">
        <f t="shared" si="40"/>
        <v>0.0202742353300474-0.140936832346372i</v>
      </c>
      <c r="AM98" s="24" t="str">
        <f t="shared" si="41"/>
        <v>1.00003789085547+0.0516584686680996i</v>
      </c>
      <c r="AN98" s="24" t="str">
        <f t="shared" si="42"/>
        <v>-9.26336669622567+47.0284769890342i</v>
      </c>
      <c r="AO98" s="24">
        <f t="shared" si="33"/>
        <v>47.932114604478514</v>
      </c>
      <c r="AP98" s="24">
        <f t="shared" si="34"/>
        <v>1.7652801650834318</v>
      </c>
      <c r="AQ98" s="24">
        <f t="shared" si="35"/>
        <v>101.14310311743786</v>
      </c>
      <c r="AR98" s="24">
        <f t="shared" si="36"/>
        <v>33.612531780669727</v>
      </c>
      <c r="AS98" s="24">
        <f t="shared" si="43"/>
        <v>51.820269762897084</v>
      </c>
      <c r="AT98" s="24">
        <f t="shared" si="44"/>
        <v>94.844210958512477</v>
      </c>
    </row>
    <row r="99" spans="4:46">
      <c r="D99" s="13"/>
      <c r="Y99" s="24">
        <v>97</v>
      </c>
      <c r="Z99" s="24">
        <f t="shared" si="28"/>
        <v>390.00933326545766</v>
      </c>
      <c r="AA99" s="24" t="str">
        <f t="shared" si="37"/>
        <v>2450.50091243643i</v>
      </c>
      <c r="AB99" s="24">
        <f t="shared" si="29"/>
        <v>9.4210346008907155</v>
      </c>
      <c r="AD99" s="24" t="str">
        <f t="shared" si="30"/>
        <v>0.986514813163841-0.115168683404929i</v>
      </c>
      <c r="AE99" s="24" t="str">
        <f t="shared" si="31"/>
        <v>0.999999751891911-0.000632625712634336i</v>
      </c>
      <c r="AF99" s="24" t="str">
        <f t="shared" si="45"/>
        <v>8.07374509918384-0.947730752167662i</v>
      </c>
      <c r="AG99" s="24">
        <f t="shared" si="32"/>
        <v>8.1291791409218792</v>
      </c>
      <c r="AH99" s="24">
        <f t="shared" si="38"/>
        <v>-0.11684954487816529</v>
      </c>
      <c r="AI99" s="24">
        <f t="shared" si="27"/>
        <v>-6.6949857595433766</v>
      </c>
      <c r="AJ99" s="24">
        <f t="shared" si="39"/>
        <v>18.20093388219798</v>
      </c>
      <c r="AL99" s="24" t="str">
        <f t="shared" si="40"/>
        <v>0.0179696914006292-0.132841189363824i</v>
      </c>
      <c r="AM99" s="24" t="str">
        <f t="shared" si="41"/>
        <v>1.00004285076768+0.0549355669469929i</v>
      </c>
      <c r="AN99" s="24" t="str">
        <f t="shared" si="42"/>
        <v>-8.4944052336932+44.3273055980388i</v>
      </c>
      <c r="AO99" s="24">
        <f t="shared" si="33"/>
        <v>45.133855827484055</v>
      </c>
      <c r="AP99" s="24">
        <f t="shared" si="34"/>
        <v>1.7601302183954639</v>
      </c>
      <c r="AQ99" s="24">
        <f t="shared" si="35"/>
        <v>100.84803290749993</v>
      </c>
      <c r="AR99" s="24">
        <f t="shared" si="36"/>
        <v>33.090048745770808</v>
      </c>
      <c r="AS99" s="24">
        <f t="shared" si="43"/>
        <v>51.290982627968788</v>
      </c>
      <c r="AT99" s="24">
        <f t="shared" si="44"/>
        <v>94.153047147956556</v>
      </c>
    </row>
    <row r="100" spans="4:46">
      <c r="D100" s="13"/>
      <c r="Y100" s="24">
        <v>98</v>
      </c>
      <c r="Z100" s="24">
        <f t="shared" si="28"/>
        <v>414.75068655422291</v>
      </c>
      <c r="AA100" s="24" t="str">
        <f t="shared" si="37"/>
        <v>2605.95541990014i</v>
      </c>
      <c r="AB100" s="24">
        <f t="shared" si="29"/>
        <v>9.4210346008907155</v>
      </c>
      <c r="AD100" s="24" t="str">
        <f t="shared" si="30"/>
        <v>0.984776552982926-0.122258291032277i</v>
      </c>
      <c r="AE100" s="24" t="str">
        <f t="shared" si="31"/>
        <v>0.999999719414548-0.000672758118768224i</v>
      </c>
      <c r="AF100" s="24" t="str">
        <f t="shared" si="45"/>
        <v>8.05944080780911-1.0060716005964i</v>
      </c>
      <c r="AG100" s="24">
        <f t="shared" si="32"/>
        <v>8.1219927480948524</v>
      </c>
      <c r="AH100" s="24">
        <f t="shared" ref="AH100:AH131" si="46">IMARGUMENT(AF100)</f>
        <v>-0.12418902420914611</v>
      </c>
      <c r="AI100" s="24">
        <f t="shared" si="27"/>
        <v>-7.1155069490320786</v>
      </c>
      <c r="AJ100" s="24">
        <f t="shared" ref="AJ100:AJ131" si="47">20*LOG(AG100,10)</f>
        <v>18.193251947690566</v>
      </c>
      <c r="AL100" s="24" t="str">
        <f t="shared" ref="AL100:AL131" si="48">IMDIV(1,IMSUM(1,IMDIV(AA100,wp2e)))</f>
        <v>0.0159228443792133-0.125177104160819i</v>
      </c>
      <c r="AM100" s="24" t="str">
        <f t="shared" ref="AM100:AM131" si="49">IMDIV(IMSUM(1,IMDIV(AA100,wz2e)),IMSUM(1,IMDIV(AA100,wp1e)))</f>
        <v>1.00004845993184+0.0584205565084863i</v>
      </c>
      <c r="AN100" s="24" t="str">
        <f t="shared" ref="AN100:AN131" si="50">IMPRODUCT($AK$2,AL100,AM100)</f>
        <v>-7.81142993541545+41.7701402365486i</v>
      </c>
      <c r="AO100" s="24">
        <f t="shared" si="33"/>
        <v>42.494270825804755</v>
      </c>
      <c r="AP100" s="24">
        <f t="shared" si="34"/>
        <v>1.7556707840187622</v>
      </c>
      <c r="AQ100" s="24">
        <f t="shared" si="35"/>
        <v>100.59252613869937</v>
      </c>
      <c r="AR100" s="24">
        <f t="shared" si="36"/>
        <v>32.566607628554337</v>
      </c>
      <c r="AS100" s="24">
        <f t="shared" ref="AS100:AS131" si="51">AR100+AJ100</f>
        <v>50.759859576244907</v>
      </c>
      <c r="AT100" s="24">
        <f t="shared" ref="AT100:AT131" si="52">AQ100+AI100</f>
        <v>93.477019189667288</v>
      </c>
    </row>
    <row r="101" spans="4:46">
      <c r="D101" s="13"/>
      <c r="Y101" s="24">
        <v>99</v>
      </c>
      <c r="Z101" s="24">
        <f t="shared" si="28"/>
        <v>441.06157808309626</v>
      </c>
      <c r="AA101" s="24" t="str">
        <f t="shared" si="37"/>
        <v>2771.27162697315i</v>
      </c>
      <c r="AB101" s="24">
        <f t="shared" si="29"/>
        <v>9.4210346008907155</v>
      </c>
      <c r="AD101" s="24" t="str">
        <f t="shared" si="30"/>
        <v>0.982818142629065-0.129754765423996i</v>
      </c>
      <c r="AE101" s="24" t="str">
        <f t="shared" si="31"/>
        <v>0.999999682685896-0.000715436436719184i</v>
      </c>
      <c r="AF101" s="24" t="str">
        <f t="shared" si="45"/>
        <v>8.04332488187227-1.06776058161714i</v>
      </c>
      <c r="AG101" s="24">
        <f t="shared" si="32"/>
        <v>8.1138885754612708</v>
      </c>
      <c r="AH101" s="24">
        <f t="shared" si="46"/>
        <v>-0.13197946888332293</v>
      </c>
      <c r="AI101" s="24">
        <f t="shared" si="27"/>
        <v>-7.5618665493925805</v>
      </c>
      <c r="AJ101" s="24">
        <f t="shared" si="47"/>
        <v>18.184580788602073</v>
      </c>
      <c r="AL101" s="24" t="str">
        <f t="shared" si="48"/>
        <v>0.0141057956244991-0.117927190055131i</v>
      </c>
      <c r="AM101" s="24" t="str">
        <f t="shared" si="49"/>
        <v>1.00005480333485+0.0621266253695568i</v>
      </c>
      <c r="AN101" s="24" t="str">
        <f t="shared" si="50"/>
        <v>-7.2051318089353+39.3511799271102i</v>
      </c>
      <c r="AO101" s="24">
        <f t="shared" si="33"/>
        <v>40.005365715612847</v>
      </c>
      <c r="AP101" s="24">
        <f t="shared" si="34"/>
        <v>1.751888643729959</v>
      </c>
      <c r="AQ101" s="24">
        <f t="shared" si="35"/>
        <v>100.37582546262456</v>
      </c>
      <c r="AR101" s="24">
        <f t="shared" si="36"/>
        <v>32.042364898758976</v>
      </c>
      <c r="AS101" s="24">
        <f t="shared" si="51"/>
        <v>50.226945687361052</v>
      </c>
      <c r="AT101" s="24">
        <f t="shared" si="52"/>
        <v>92.813958913231986</v>
      </c>
    </row>
    <row r="102" spans="4:46">
      <c r="D102" s="13"/>
      <c r="Y102" s="24">
        <v>100</v>
      </c>
      <c r="Z102" s="24">
        <f t="shared" si="28"/>
        <v>469.04157598234281</v>
      </c>
      <c r="AA102" s="24" t="str">
        <f t="shared" si="37"/>
        <v>2947.07513866861i</v>
      </c>
      <c r="AB102" s="24">
        <f t="shared" si="29"/>
        <v>9.4210346008907155</v>
      </c>
      <c r="AD102" s="24" t="str">
        <f t="shared" si="30"/>
        <v>0.980612768556087-0.137675571780842i</v>
      </c>
      <c r="AE102" s="24" t="str">
        <f t="shared" si="31"/>
        <v>0.999999641149461-0.000760822173310105i</v>
      </c>
      <c r="AF102" s="24" t="str">
        <f t="shared" si="45"/>
        <v>8.02517667041318-1.13294141730439i</v>
      </c>
      <c r="AG102" s="24">
        <f t="shared" si="32"/>
        <v>8.104752731970768</v>
      </c>
      <c r="AH102" s="24">
        <f t="shared" si="46"/>
        <v>-0.14024659185952412</v>
      </c>
      <c r="AI102" s="24">
        <f t="shared" si="27"/>
        <v>-8.0355378046445409</v>
      </c>
      <c r="AJ102" s="24">
        <f t="shared" si="47"/>
        <v>18.17479538978872</v>
      </c>
      <c r="AL102" s="24" t="str">
        <f t="shared" si="48"/>
        <v>0.0124934684260739-0.111073766807292i</v>
      </c>
      <c r="AM102" s="24" t="str">
        <f t="shared" si="49"/>
        <v>1.00006197708832+0.0660677981344219i</v>
      </c>
      <c r="AN102" s="24" t="str">
        <f t="shared" si="50"/>
        <v>-6.66714346011743+37.0645257701788i</v>
      </c>
      <c r="AO102" s="24">
        <f t="shared" si="33"/>
        <v>37.659392885255528</v>
      </c>
      <c r="AP102" s="24">
        <f t="shared" si="34"/>
        <v>1.748772416107256</v>
      </c>
      <c r="AQ102" s="24">
        <f t="shared" si="35"/>
        <v>100.19727877184158</v>
      </c>
      <c r="AR102" s="24">
        <f t="shared" si="36"/>
        <v>31.517466287745307</v>
      </c>
      <c r="AS102" s="24">
        <f t="shared" si="51"/>
        <v>49.692261677534027</v>
      </c>
      <c r="AT102" s="24">
        <f t="shared" si="52"/>
        <v>92.161740967197034</v>
      </c>
    </row>
    <row r="103" spans="4:46">
      <c r="D103" s="13"/>
      <c r="Y103" s="24">
        <v>101</v>
      </c>
      <c r="Z103" s="24">
        <f t="shared" si="28"/>
        <v>498.79656477026373</v>
      </c>
      <c r="AA103" s="24" t="str">
        <f t="shared" si="37"/>
        <v>3134.03124703617i</v>
      </c>
      <c r="AB103" s="24">
        <f t="shared" si="29"/>
        <v>9.4210346008907155</v>
      </c>
      <c r="AD103" s="24" t="str">
        <f t="shared" si="30"/>
        <v>0.978130641734865-0.146037711872278i</v>
      </c>
      <c r="AE103" s="24" t="str">
        <f t="shared" si="31"/>
        <v>0.999999594175905-0.000809087080939009i</v>
      </c>
      <c r="AF103" s="24" t="str">
        <f t="shared" si="45"/>
        <v>8.00475103696842-1.20175401608209i</v>
      </c>
      <c r="AG103" s="24">
        <f t="shared" si="32"/>
        <v>8.0944580966866724</v>
      </c>
      <c r="AH103" s="24">
        <f t="shared" si="46"/>
        <v>-0.14901717531044867</v>
      </c>
      <c r="AI103" s="24">
        <f t="shared" si="27"/>
        <v>-8.5380552202498023</v>
      </c>
      <c r="AJ103" s="24">
        <f t="shared" si="47"/>
        <v>18.163755583106141</v>
      </c>
      <c r="AL103" s="24" t="str">
        <f t="shared" si="48"/>
        <v>0.0110633661269876-0.104599082486071i</v>
      </c>
      <c r="AM103" s="24" t="str">
        <f t="shared" si="49"/>
        <v>1.00007008988477+0.0702589890593096i</v>
      </c>
      <c r="AN103" s="24" t="str">
        <f t="shared" si="50"/>
        <v>-6.18995838542441+34.9042549762498i</v>
      </c>
      <c r="AO103" s="24">
        <f t="shared" si="33"/>
        <v>35.448873046407911</v>
      </c>
      <c r="AP103" s="24">
        <f t="shared" si="34"/>
        <v>1.7463126046925537</v>
      </c>
      <c r="AQ103" s="24">
        <f t="shared" si="35"/>
        <v>100.05634195938104</v>
      </c>
      <c r="AR103" s="24">
        <f t="shared" si="36"/>
        <v>30.992048662028505</v>
      </c>
      <c r="AS103" s="24">
        <f t="shared" si="51"/>
        <v>49.155804245134647</v>
      </c>
      <c r="AT103" s="24">
        <f t="shared" si="52"/>
        <v>91.518286739131241</v>
      </c>
    </row>
    <row r="104" spans="4:46">
      <c r="D104" s="13"/>
      <c r="Y104" s="24">
        <v>102</v>
      </c>
      <c r="Z104" s="24">
        <f t="shared" si="28"/>
        <v>530.4391460512702</v>
      </c>
      <c r="AA104" s="24" t="str">
        <f t="shared" si="37"/>
        <v>3332.84744882223i</v>
      </c>
      <c r="AB104" s="24">
        <f t="shared" si="29"/>
        <v>9.4210346008907155</v>
      </c>
      <c r="AD104" s="24" t="str">
        <f t="shared" si="30"/>
        <v>0.975338746675974-0.154857417154738i</v>
      </c>
      <c r="AE104" s="24" t="str">
        <f t="shared" si="31"/>
        <v>0.999999541053507-0.000860413807522041i</v>
      </c>
      <c r="AF104" s="24" t="str">
        <f t="shared" si="45"/>
        <v>7.98177629425725-1.27433194736547i</v>
      </c>
      <c r="AG104" s="24">
        <f t="shared" si="32"/>
        <v>8.0828630276433149</v>
      </c>
      <c r="AH104" s="24">
        <f t="shared" si="46"/>
        <v>-0.15831903316522769</v>
      </c>
      <c r="AI104" s="24">
        <f t="shared" si="27"/>
        <v>-9.0710124169592525</v>
      </c>
      <c r="AJ104" s="24">
        <f t="shared" si="47"/>
        <v>18.151304385960607</v>
      </c>
      <c r="AL104" s="24" t="str">
        <f t="shared" si="48"/>
        <v>0.00979534097937049-0.098485492710695i</v>
      </c>
      <c r="AM104" s="24" t="str">
        <f t="shared" si="49"/>
        <v>1.00007926464452+0.074716058482224i</v>
      </c>
      <c r="AN104" s="24" t="str">
        <f t="shared" si="50"/>
        <v>-5.76685384550006+32.8644806759361i</v>
      </c>
      <c r="AO104" s="24">
        <f t="shared" si="33"/>
        <v>33.366610456777536</v>
      </c>
      <c r="AP104" s="24">
        <f t="shared" si="34"/>
        <v>1.7445016340677839</v>
      </c>
      <c r="AQ104" s="24">
        <f t="shared" si="35"/>
        <v>99.952580985759568</v>
      </c>
      <c r="AR104" s="24">
        <f t="shared" si="36"/>
        <v>30.466241822826344</v>
      </c>
      <c r="AS104" s="24">
        <f t="shared" si="51"/>
        <v>48.617546208786948</v>
      </c>
      <c r="AT104" s="24">
        <f t="shared" si="52"/>
        <v>90.881568568800319</v>
      </c>
    </row>
    <row r="105" spans="4:46">
      <c r="D105" s="13"/>
      <c r="Y105" s="24">
        <v>103</v>
      </c>
      <c r="Z105" s="24">
        <f t="shared" si="28"/>
        <v>564.08906463337905</v>
      </c>
      <c r="AA105" s="24" t="str">
        <f t="shared" si="37"/>
        <v>3544.27612284512i</v>
      </c>
      <c r="AB105" s="24">
        <f t="shared" si="29"/>
        <v>9.4210346008907155</v>
      </c>
      <c r="AD105" s="24" t="str">
        <f t="shared" si="30"/>
        <v>0.972200591789051-0.16414977981632i</v>
      </c>
      <c r="AE105" s="24" t="str">
        <f t="shared" si="31"/>
        <v>0.999999480977384-0.000914996587664564i</v>
      </c>
      <c r="AF105" s="24" t="str">
        <f t="shared" si="45"/>
        <v>7.95595214986746-1.35079940539405i</v>
      </c>
      <c r="AG105" s="24">
        <f t="shared" si="32"/>
        <v>8.0698100129181221</v>
      </c>
      <c r="AH105" s="24">
        <f t="shared" si="46"/>
        <v>-0.16818095286700299</v>
      </c>
      <c r="AI105" s="24">
        <f t="shared" si="27"/>
        <v>-9.6360587937678925</v>
      </c>
      <c r="AJ105" s="24">
        <f t="shared" si="47"/>
        <v>18.137266205438795</v>
      </c>
      <c r="AL105" s="24" t="str">
        <f t="shared" si="48"/>
        <v>0.00867137589265035-0.0927156035022084i</v>
      </c>
      <c r="AM105" s="24" t="str">
        <f t="shared" si="49"/>
        <v>1.00008964037797+0.0794558728309019i</v>
      </c>
      <c r="AN105" s="24" t="str">
        <f t="shared" si="50"/>
        <v>-5.39181804064085+30.9393995875601i</v>
      </c>
      <c r="AO105" s="24">
        <f t="shared" si="33"/>
        <v>31.405702485728515</v>
      </c>
      <c r="AP105" s="24">
        <f t="shared" si="34"/>
        <v>1.7433338758728254</v>
      </c>
      <c r="AQ105" s="24">
        <f t="shared" si="35"/>
        <v>99.885673369696633</v>
      </c>
      <c r="AR105" s="24">
        <f t="shared" si="36"/>
        <v>29.940170243777089</v>
      </c>
      <c r="AS105" s="24">
        <f t="shared" si="51"/>
        <v>48.077436449215881</v>
      </c>
      <c r="AT105" s="24">
        <f t="shared" si="52"/>
        <v>90.249614575928746</v>
      </c>
    </row>
    <row r="106" spans="4:46">
      <c r="D106" s="13"/>
      <c r="Y106" s="24">
        <v>104</v>
      </c>
      <c r="Z106" s="24">
        <f t="shared" si="28"/>
        <v>599.87366167768641</v>
      </c>
      <c r="AA106" s="24" t="str">
        <f t="shared" si="37"/>
        <v>3769.11737721726i</v>
      </c>
      <c r="AB106" s="24">
        <f t="shared" si="29"/>
        <v>9.4210346008907155</v>
      </c>
      <c r="AD106" s="24" t="str">
        <f t="shared" si="30"/>
        <v>0.968675968964597-0.173928313517535i</v>
      </c>
      <c r="AE106" s="24" t="str">
        <f t="shared" si="31"/>
        <v>0.999999413037293-0.000973041977675197i</v>
      </c>
      <c r="AF106" s="24" t="str">
        <f t="shared" si="45"/>
        <v>7.92694772783347-1.43126759452726i</v>
      </c>
      <c r="AG106" s="24">
        <f t="shared" si="32"/>
        <v>8.055124282526501</v>
      </c>
      <c r="AH106" s="24">
        <f t="shared" si="46"/>
        <v>-0.17863261226503491</v>
      </c>
      <c r="AI106" s="24">
        <f t="shared" si="27"/>
        <v>-10.234894766183366</v>
      </c>
      <c r="AJ106" s="24">
        <f t="shared" si="47"/>
        <v>18.121444910744867</v>
      </c>
      <c r="AL106" s="24" t="str">
        <f t="shared" si="48"/>
        <v>0.00767538034898846-0.0872723832921207i</v>
      </c>
      <c r="AM106" s="24" t="str">
        <f t="shared" si="49"/>
        <v>1.00010137429186+0.084496368435636i</v>
      </c>
      <c r="AN106" s="24" t="str">
        <f t="shared" si="50"/>
        <v>-5.0594820134609+29.1233293935473i</v>
      </c>
      <c r="AO106" s="24">
        <f t="shared" si="33"/>
        <v>29.559544536572119</v>
      </c>
      <c r="AP106" s="24">
        <f t="shared" si="34"/>
        <v>1.7428056663285862</v>
      </c>
      <c r="AQ106" s="24">
        <f t="shared" si="35"/>
        <v>99.8554091921132</v>
      </c>
      <c r="AR106" s="24">
        <f t="shared" si="36"/>
        <v>29.413954760370945</v>
      </c>
      <c r="AS106" s="24">
        <f t="shared" si="51"/>
        <v>47.535399671115812</v>
      </c>
      <c r="AT106" s="24">
        <f t="shared" si="52"/>
        <v>89.620514425929827</v>
      </c>
    </row>
    <row r="107" spans="4:46">
      <c r="D107" s="13"/>
      <c r="Y107" s="24">
        <v>105</v>
      </c>
      <c r="Z107" s="24">
        <f t="shared" si="28"/>
        <v>637.92835659466812</v>
      </c>
      <c r="AA107" s="24" t="str">
        <f t="shared" si="37"/>
        <v>4008.22207718884i</v>
      </c>
      <c r="AB107" s="24">
        <f t="shared" si="29"/>
        <v>9.4210346008907155</v>
      </c>
      <c r="AD107" s="24" t="str">
        <f t="shared" si="30"/>
        <v>0.964720732725928-0.184204435491573i</v>
      </c>
      <c r="AE107" s="24" t="str">
        <f t="shared" si="31"/>
        <v>0.999999336203841-0.00103476963720334i</v>
      </c>
      <c r="AF107" s="24" t="str">
        <f t="shared" si="45"/>
        <v>7.89439975125879-1.51583046740082i</v>
      </c>
      <c r="AG107" s="24">
        <f t="shared" si="32"/>
        <v>8.0386124075349876</v>
      </c>
      <c r="AH107" s="24">
        <f t="shared" si="46"/>
        <v>-0.18970446704826141</v>
      </c>
      <c r="AI107" s="24">
        <f t="shared" si="27"/>
        <v>-10.869265316643977</v>
      </c>
      <c r="AJ107" s="24">
        <f t="shared" si="47"/>
        <v>18.10362178153888</v>
      </c>
      <c r="AL107" s="24" t="str">
        <f t="shared" si="48"/>
        <v>0.00679300108545859-0.0821392489721665i</v>
      </c>
      <c r="AM107" s="24" t="str">
        <f t="shared" si="49"/>
        <v>1.00011464417107+0.0898566193879423i</v>
      </c>
      <c r="AN107" s="24" t="str">
        <f t="shared" si="50"/>
        <v>-4.76505647879192+27.4107374552081i</v>
      </c>
      <c r="AO107" s="24">
        <f t="shared" si="33"/>
        <v>27.821831195743119</v>
      </c>
      <c r="AP107" s="24">
        <f t="shared" si="34"/>
        <v>1.7429153163874205</v>
      </c>
      <c r="AQ107" s="24">
        <f t="shared" si="35"/>
        <v>99.861691677707768</v>
      </c>
      <c r="AR107" s="24">
        <f t="shared" si="36"/>
        <v>28.887714225581998</v>
      </c>
      <c r="AS107" s="24">
        <f t="shared" si="51"/>
        <v>46.991336007120879</v>
      </c>
      <c r="AT107" s="24">
        <f t="shared" si="52"/>
        <v>88.992426361063792</v>
      </c>
    </row>
    <row r="108" spans="4:46">
      <c r="D108" s="13"/>
      <c r="Y108" s="24">
        <v>106</v>
      </c>
      <c r="Z108" s="24">
        <f t="shared" si="28"/>
        <v>678.39715951094945</v>
      </c>
      <c r="AA108" s="24" t="str">
        <f t="shared" si="37"/>
        <v>4262.49506507156i</v>
      </c>
      <c r="AB108" s="24">
        <f t="shared" si="29"/>
        <v>9.4210346008907155</v>
      </c>
      <c r="AD108" s="24" t="str">
        <f t="shared" si="30"/>
        <v>0.960286612214243-0.194986861970668i</v>
      </c>
      <c r="AE108" s="24" t="str">
        <f t="shared" si="31"/>
        <v>0.999999249312885-0.00110041316045716i</v>
      </c>
      <c r="AF108" s="24" t="str">
        <f t="shared" si="45"/>
        <v>7.857910995125-1.60455974983586i</v>
      </c>
      <c r="AG108" s="24">
        <f t="shared" si="32"/>
        <v>8.0200609223434007</v>
      </c>
      <c r="AH108" s="24">
        <f t="shared" si="46"/>
        <v>-0.20142760361981751</v>
      </c>
      <c r="AI108" s="24">
        <f t="shared" si="27"/>
        <v>-11.540951564849607</v>
      </c>
      <c r="AJ108" s="24">
        <f t="shared" si="47"/>
        <v>18.083553346074968</v>
      </c>
      <c r="AL108" s="24" t="str">
        <f t="shared" si="48"/>
        <v>0.00601144763839765-0.0773001302436707i</v>
      </c>
      <c r="AM108" s="24" t="str">
        <f t="shared" si="49"/>
        <v>1.00012965107223+0.0955569097012753i</v>
      </c>
      <c r="AN108" s="24" t="str">
        <f t="shared" si="50"/>
        <v>-4.50427361265979+25.7962622868657i</v>
      </c>
      <c r="AO108" s="24">
        <f t="shared" si="33"/>
        <v>26.186554350476751</v>
      </c>
      <c r="AP108" s="24">
        <f t="shared" si="34"/>
        <v>1.7436631152090469</v>
      </c>
      <c r="AQ108" s="24">
        <f t="shared" si="35"/>
        <v>99.904537394111799</v>
      </c>
      <c r="AR108" s="24">
        <f t="shared" si="36"/>
        <v>28.361567146801121</v>
      </c>
      <c r="AS108" s="24">
        <f t="shared" si="51"/>
        <v>46.445120492876086</v>
      </c>
      <c r="AT108" s="24">
        <f t="shared" si="52"/>
        <v>88.363585829262192</v>
      </c>
    </row>
    <row r="109" spans="4:46">
      <c r="D109" s="13"/>
      <c r="Y109" s="24">
        <v>107</v>
      </c>
      <c r="Z109" s="24">
        <f t="shared" si="28"/>
        <v>721.43321624585462</v>
      </c>
      <c r="AA109" s="24" t="str">
        <f t="shared" si="37"/>
        <v>4532.89858442727i</v>
      </c>
      <c r="AB109" s="24">
        <f t="shared" si="29"/>
        <v>9.4210346008907155</v>
      </c>
      <c r="AD109" s="24" t="str">
        <f t="shared" si="30"/>
        <v>0.955321072645003-0.206280909788685i</v>
      </c>
      <c r="AE109" s="24" t="str">
        <f t="shared" si="31"/>
        <v>0.999999151047899-0.0011702209601461i</v>
      </c>
      <c r="AF109" s="24" t="str">
        <f t="shared" si="45"/>
        <v>7.81704914620442-1.69749919366415i</v>
      </c>
      <c r="AG109" s="24">
        <f t="shared" si="32"/>
        <v>7.9992350175917259</v>
      </c>
      <c r="AH109" s="24">
        <f t="shared" si="46"/>
        <v>-0.21383355184041306</v>
      </c>
      <c r="AI109" s="24">
        <f t="shared" si="27"/>
        <v>-12.251760038747566</v>
      </c>
      <c r="AJ109" s="24">
        <f t="shared" si="47"/>
        <v>18.060969131028997</v>
      </c>
      <c r="AL109" s="24" t="str">
        <f t="shared" si="48"/>
        <v>0.00531933247860094-0.0727395159496064i</v>
      </c>
      <c r="AM109" s="24" t="str">
        <f t="shared" si="49"/>
        <v>1.00014662236993+0.101618810046134i</v>
      </c>
      <c r="AN109" s="24" t="str">
        <f t="shared" si="50"/>
        <v>-4.27333370980182+24.2747290182786i</v>
      </c>
      <c r="AO109" s="24">
        <f t="shared" si="33"/>
        <v>24.647998902673329</v>
      </c>
      <c r="AP109" s="24">
        <f t="shared" si="34"/>
        <v>1.7450513272477155</v>
      </c>
      <c r="AQ109" s="24">
        <f t="shared" si="35"/>
        <v>99.984076084996786</v>
      </c>
      <c r="AR109" s="24">
        <f t="shared" si="36"/>
        <v>27.835633319482671</v>
      </c>
      <c r="AS109" s="24">
        <f t="shared" si="51"/>
        <v>45.896602450511665</v>
      </c>
      <c r="AT109" s="24">
        <f t="shared" si="52"/>
        <v>87.732316046249224</v>
      </c>
    </row>
    <row r="110" spans="4:46">
      <c r="D110" s="13"/>
      <c r="Y110" s="24">
        <v>108</v>
      </c>
      <c r="Z110" s="24">
        <f t="shared" si="28"/>
        <v>767.19938786011153</v>
      </c>
      <c r="AA110" s="24" t="str">
        <f t="shared" si="37"/>
        <v>4820.45592147983i</v>
      </c>
      <c r="AB110" s="24">
        <f t="shared" si="29"/>
        <v>9.4210346008907155</v>
      </c>
      <c r="AD110" s="24" t="str">
        <f t="shared" si="30"/>
        <v>0.949767246677287-0.218087698683212i</v>
      </c>
      <c r="AE110" s="24" t="str">
        <f t="shared" si="31"/>
        <v>0.999999039920019-0.00124445720749165i</v>
      </c>
      <c r="AF110" s="24" t="str">
        <f t="shared" si="45"/>
        <v>7.7713462382925-1.79465801240076i</v>
      </c>
      <c r="AG110" s="24">
        <f t="shared" si="32"/>
        <v>7.9758773647102457</v>
      </c>
      <c r="AH110" s="24">
        <f t="shared" si="46"/>
        <v>-0.22695405167434898</v>
      </c>
      <c r="AI110" s="24">
        <f t="shared" si="27"/>
        <v>-13.003509304334193</v>
      </c>
      <c r="AJ110" s="24">
        <f t="shared" si="47"/>
        <v>18.035569354820527</v>
      </c>
      <c r="AL110" s="24" t="str">
        <f t="shared" si="48"/>
        <v>0.00470652520808939-0.0684424855521409i</v>
      </c>
      <c r="AM110" s="24" t="str">
        <f t="shared" si="49"/>
        <v>1.00016581520164+0.108065259349082i</v>
      </c>
      <c r="AN110" s="24" t="str">
        <f t="shared" si="50"/>
        <v>-4.06885653311954+22.8411599007048i</v>
      </c>
      <c r="AO110" s="24">
        <f t="shared" si="33"/>
        <v>23.20073660676907</v>
      </c>
      <c r="AP110" s="24">
        <f t="shared" si="34"/>
        <v>1.7470841828287886</v>
      </c>
      <c r="AQ110" s="24">
        <f t="shared" si="35"/>
        <v>100.10055013015187</v>
      </c>
      <c r="AR110" s="24">
        <f t="shared" si="36"/>
        <v>27.310035472970338</v>
      </c>
      <c r="AS110" s="24">
        <f t="shared" si="51"/>
        <v>45.345604827790865</v>
      </c>
      <c r="AT110" s="24">
        <f t="shared" si="52"/>
        <v>87.097040825817686</v>
      </c>
    </row>
    <row r="111" spans="4:46">
      <c r="D111" s="13"/>
      <c r="Y111" s="24">
        <v>109</v>
      </c>
      <c r="Z111" s="24">
        <f t="shared" si="28"/>
        <v>815.86886696986198</v>
      </c>
      <c r="AA111" s="24" t="str">
        <f t="shared" si="37"/>
        <v>5126.25527753029i</v>
      </c>
      <c r="AB111" s="24">
        <f t="shared" si="29"/>
        <v>9.4210346008907155</v>
      </c>
      <c r="AD111" s="24" t="str">
        <f t="shared" si="30"/>
        <v>0.943563960281547-0.230403251529952i</v>
      </c>
      <c r="AE111" s="24" t="str">
        <f t="shared" si="31"/>
        <v>0.999998914245494-0.00132340283186155i</v>
      </c>
      <c r="AF111" s="24" t="str">
        <f t="shared" si="45"/>
        <v>7.72029886507565-1.89600347699289i</v>
      </c>
      <c r="AG111" s="24">
        <f t="shared" si="32"/>
        <v>7.9497071487481534</v>
      </c>
      <c r="AH111" s="24">
        <f t="shared" si="46"/>
        <v>-0.24082076751184331</v>
      </c>
      <c r="AI111" s="24">
        <f t="shared" si="27"/>
        <v>-13.798013597529833</v>
      </c>
      <c r="AJ111" s="24">
        <f t="shared" si="47"/>
        <v>18.007022608285979</v>
      </c>
      <c r="AL111" s="24" t="str">
        <f t="shared" si="48"/>
        <v>0.00416402011626419-0.0643947284545524i</v>
      </c>
      <c r="AM111" s="24" t="str">
        <f t="shared" si="49"/>
        <v>1.00018752036357+0.114920651563416i</v>
      </c>
      <c r="AN111" s="24" t="str">
        <f t="shared" si="50"/>
        <v>-3.88783712076621+21.4907807571584i</v>
      </c>
      <c r="AO111" s="24">
        <f t="shared" si="33"/>
        <v>21.839618472625791</v>
      </c>
      <c r="AP111" s="24">
        <f t="shared" si="34"/>
        <v>1.7497678616833623</v>
      </c>
      <c r="AQ111" s="24">
        <f t="shared" si="35"/>
        <v>100.25431360208745</v>
      </c>
      <c r="AR111" s="24">
        <f t="shared" si="36"/>
        <v>26.784900943766981</v>
      </c>
      <c r="AS111" s="24">
        <f t="shared" si="51"/>
        <v>44.791923552052964</v>
      </c>
      <c r="AT111" s="24">
        <f t="shared" si="52"/>
        <v>86.456300004557619</v>
      </c>
    </row>
    <row r="112" spans="4:46">
      <c r="D112" s="13"/>
      <c r="Y112" s="24">
        <v>110</v>
      </c>
      <c r="Z112" s="24">
        <f t="shared" si="28"/>
        <v>867.62583315832671</v>
      </c>
      <c r="AA112" s="24" t="str">
        <f t="shared" si="37"/>
        <v>5451.45388702985i</v>
      </c>
      <c r="AB112" s="24">
        <f t="shared" si="29"/>
        <v>9.4210346008907155</v>
      </c>
      <c r="AD112" s="24" t="str">
        <f t="shared" si="30"/>
        <v>0.936645882006666-0.243217493765091i</v>
      </c>
      <c r="AE112" s="24" t="str">
        <f t="shared" si="31"/>
        <v>0.999998772120167-0.00140735658380818i</v>
      </c>
      <c r="AF112" s="24" t="str">
        <f t="shared" si="45"/>
        <v>7.66336940846242-2.00145268197753i</v>
      </c>
      <c r="AG112" s="24">
        <f t="shared" si="32"/>
        <v>7.9204194035892259</v>
      </c>
      <c r="AH112" s="24">
        <f t="shared" si="46"/>
        <v>-0.25546494388723018</v>
      </c>
      <c r="AI112" s="24">
        <f t="shared" si="27"/>
        <v>-14.637063098284688</v>
      </c>
      <c r="AJ112" s="24">
        <f t="shared" si="47"/>
        <v>17.974963580885643</v>
      </c>
      <c r="AL112" s="24" t="str">
        <f t="shared" si="48"/>
        <v>0.00368381628583322-0.0605825534572904i</v>
      </c>
      <c r="AM112" s="24" t="str">
        <f t="shared" si="49"/>
        <v>1.00021206671635+0.122210927938607i</v>
      </c>
      <c r="AN112" s="24" t="str">
        <f t="shared" si="50"/>
        <v>-3.72760578072095+20.2190241409023i</v>
      </c>
      <c r="AO112" s="24">
        <f t="shared" si="33"/>
        <v>20.559766099517137</v>
      </c>
      <c r="AP112" s="24">
        <f t="shared" si="34"/>
        <v>1.7531104684911547</v>
      </c>
      <c r="AQ112" s="24">
        <f t="shared" si="35"/>
        <v>100.44583086474564</v>
      </c>
      <c r="AR112" s="24">
        <f t="shared" si="36"/>
        <v>26.260363391030083</v>
      </c>
      <c r="AS112" s="24">
        <f t="shared" si="51"/>
        <v>44.235326971915725</v>
      </c>
      <c r="AT112" s="24">
        <f t="shared" si="52"/>
        <v>85.80876776646096</v>
      </c>
    </row>
    <row r="113" spans="4:46">
      <c r="D113" s="13"/>
      <c r="Y113" s="24">
        <v>111</v>
      </c>
      <c r="Z113" s="24">
        <f t="shared" si="28"/>
        <v>922.66614996535543</v>
      </c>
      <c r="AA113" s="24" t="str">
        <f t="shared" si="37"/>
        <v>5797.28239689428i</v>
      </c>
      <c r="AB113" s="24">
        <f t="shared" si="29"/>
        <v>9.4210346008907155</v>
      </c>
      <c r="AD113" s="24" t="str">
        <f t="shared" si="30"/>
        <v>0.928943828759223-0.256513158879816i</v>
      </c>
      <c r="AE113" s="24" t="str">
        <f t="shared" si="31"/>
        <v>0.999998611390626-0.00149663616553116i</v>
      </c>
      <c r="AF113" s="24" t="str">
        <f t="shared" si="45"/>
        <v>7.59998855486689-2.11086353869884i</v>
      </c>
      <c r="AG113" s="24">
        <f t="shared" si="32"/>
        <v>7.8876847625343087</v>
      </c>
      <c r="AH113" s="24">
        <f t="shared" si="46"/>
        <v>-0.27091699655487944</v>
      </c>
      <c r="AI113" s="24">
        <f t="shared" si="27"/>
        <v>-15.522400500954857</v>
      </c>
      <c r="AJ113" s="24">
        <f t="shared" si="47"/>
        <v>17.938990907254428</v>
      </c>
      <c r="AL113" s="24" t="str">
        <f t="shared" si="48"/>
        <v>0.00325880938112348-0.0569928902806392i</v>
      </c>
      <c r="AM113" s="24" t="str">
        <f t="shared" si="49"/>
        <v>1.00023982616755+0.129963675136147i</v>
      </c>
      <c r="AN113" s="24" t="str">
        <f t="shared" si="50"/>
        <v>-3.58579198342512+19.0215298469998i</v>
      </c>
      <c r="AO113" s="24">
        <f t="shared" si="33"/>
        <v>19.356562243040475</v>
      </c>
      <c r="AP113" s="24">
        <f t="shared" si="34"/>
        <v>1.7571219990483591</v>
      </c>
      <c r="AQ113" s="24">
        <f t="shared" si="35"/>
        <v>100.67567463506123</v>
      </c>
      <c r="AR113" s="24">
        <f t="shared" si="36"/>
        <v>25.736564568280848</v>
      </c>
      <c r="AS113" s="24">
        <f t="shared" si="51"/>
        <v>43.675555475535276</v>
      </c>
      <c r="AT113" s="24">
        <f t="shared" si="52"/>
        <v>85.153274134106368</v>
      </c>
    </row>
    <row r="114" spans="4:46">
      <c r="D114" s="13"/>
      <c r="R114" s="12"/>
      <c r="S114" s="12"/>
      <c r="T114" s="12"/>
      <c r="U114" s="12"/>
      <c r="V114" s="12"/>
      <c r="W114" s="12"/>
      <c r="X114" s="12"/>
      <c r="Y114" s="24">
        <v>112</v>
      </c>
      <c r="Z114" s="24">
        <f t="shared" si="28"/>
        <v>981.19810609251715</v>
      </c>
      <c r="AA114" s="24" t="str">
        <f t="shared" si="37"/>
        <v>6165.04952363294i</v>
      </c>
      <c r="AB114" s="24">
        <f t="shared" si="29"/>
        <v>9.4210346008907155</v>
      </c>
      <c r="AD114" s="24" t="str">
        <f t="shared" si="30"/>
        <v>0.920385264904853-0.270264614384447i</v>
      </c>
      <c r="AE114" s="24" t="str">
        <f t="shared" si="31"/>
        <v>0.99999842962158-0.00159157943303882i</v>
      </c>
      <c r="AF114" s="24" t="str">
        <f t="shared" si="45"/>
        <v>7.52955940235608-2.22402511406275i</v>
      </c>
      <c r="AG114" s="24">
        <f t="shared" si="32"/>
        <v>7.8511497566656239</v>
      </c>
      <c r="AH114" s="24">
        <f t="shared" si="46"/>
        <v>-0.28720603353075608</v>
      </c>
      <c r="AI114" s="24">
        <f t="shared" si="27"/>
        <v>-16.455693572005128</v>
      </c>
      <c r="AJ114" s="24">
        <f t="shared" si="47"/>
        <v>17.898665227672886</v>
      </c>
      <c r="AL114" s="24" t="str">
        <f t="shared" si="48"/>
        <v>0.00288269423057391-0.0536132847766944i</v>
      </c>
      <c r="AM114" s="24" t="str">
        <f t="shared" si="49"/>
        <v>1.00027121930618+0.138208229561293i</v>
      </c>
      <c r="AN114" s="24" t="str">
        <f t="shared" si="50"/>
        <v>-3.46029185610884+17.8941433183869i</v>
      </c>
      <c r="AO114" s="24">
        <f t="shared" si="33"/>
        <v>18.225640861940182</v>
      </c>
      <c r="AP114" s="24">
        <f t="shared" si="34"/>
        <v>1.7618142952232141</v>
      </c>
      <c r="AQ114" s="24">
        <f t="shared" si="35"/>
        <v>100.94452340210582</v>
      </c>
      <c r="AR114" s="24">
        <f t="shared" si="36"/>
        <v>25.21365616411952</v>
      </c>
      <c r="AS114" s="24">
        <f t="shared" si="51"/>
        <v>43.112321391792406</v>
      </c>
      <c r="AT114" s="24">
        <f t="shared" si="52"/>
        <v>84.488829830100684</v>
      </c>
    </row>
    <row r="115" spans="4:46">
      <c r="D115" s="13"/>
      <c r="R115" s="12"/>
      <c r="S115" s="12"/>
      <c r="T115" s="12"/>
      <c r="U115" s="12"/>
      <c r="V115" s="12"/>
      <c r="W115" s="12"/>
      <c r="X115" s="12"/>
      <c r="Y115" s="24">
        <v>113</v>
      </c>
      <c r="Z115" s="24">
        <f t="shared" si="28"/>
        <v>1043.443203628628</v>
      </c>
      <c r="AA115" s="24" t="str">
        <f t="shared" si="37"/>
        <v>6556.14700591579i</v>
      </c>
      <c r="AB115" s="24">
        <f t="shared" si="29"/>
        <v>9.4210346008907155</v>
      </c>
      <c r="AD115" s="24" t="str">
        <f t="shared" si="30"/>
        <v>0.910895034109874-0.284436632259894i</v>
      </c>
      <c r="AE115" s="24" t="str">
        <f t="shared" si="31"/>
        <v>0.999998224058956-0.00169254567455404i</v>
      </c>
      <c r="AF115" s="24" t="str">
        <f t="shared" si="45"/>
        <v>7.45146348303682-2.34064751247293i</v>
      </c>
      <c r="AG115" s="24">
        <f t="shared" si="32"/>
        <v>7.8104378120997113</v>
      </c>
      <c r="AH115" s="24">
        <f t="shared" si="46"/>
        <v>-0.30435930188137933</v>
      </c>
      <c r="AI115" s="24">
        <f t="shared" si="27"/>
        <v>-17.438503453351171</v>
      </c>
      <c r="AJ115" s="24">
        <f t="shared" si="47"/>
        <v>17.853507576521189</v>
      </c>
      <c r="AL115" s="24" t="str">
        <f t="shared" si="48"/>
        <v>0.00254987732129689-0.050431889186736i</v>
      </c>
      <c r="AM115" s="24" t="str">
        <f t="shared" si="49"/>
        <v>1.00030672177481+0.14697578830333i</v>
      </c>
      <c r="AN115" s="24" t="str">
        <f t="shared" si="50"/>
        <v>-3.34923898446915+16.8329123989689i</v>
      </c>
      <c r="AO115" s="24">
        <f t="shared" si="33"/>
        <v>17.162876845285844</v>
      </c>
      <c r="AP115" s="24">
        <f t="shared" si="34"/>
        <v>1.7672009863836688</v>
      </c>
      <c r="AQ115" s="24">
        <f t="shared" si="35"/>
        <v>101.25315807114029</v>
      </c>
      <c r="AR115" s="24">
        <f t="shared" si="36"/>
        <v>24.691801723068284</v>
      </c>
      <c r="AS115" s="24">
        <f t="shared" si="51"/>
        <v>42.545309299589476</v>
      </c>
      <c r="AT115" s="24">
        <f t="shared" si="52"/>
        <v>83.814654617789117</v>
      </c>
    </row>
    <row r="116" spans="4:46">
      <c r="D116" s="13"/>
      <c r="R116" s="12"/>
      <c r="S116" s="12"/>
      <c r="T116" s="12"/>
      <c r="U116" s="12"/>
      <c r="V116" s="12"/>
      <c r="W116" s="12"/>
      <c r="X116" s="12"/>
      <c r="Y116" s="24">
        <v>114</v>
      </c>
      <c r="Z116" s="24">
        <f t="shared" si="28"/>
        <v>1109.6369962786232</v>
      </c>
      <c r="AA116" s="24" t="str">
        <f t="shared" si="37"/>
        <v>6972.05487132073i</v>
      </c>
      <c r="AB116" s="24">
        <f t="shared" si="29"/>
        <v>9.4210346008907155</v>
      </c>
      <c r="AD116" s="24" t="str">
        <f t="shared" si="30"/>
        <v>0.900396364106675-0.29898313974258i</v>
      </c>
      <c r="AE116" s="24" t="str">
        <f t="shared" si="31"/>
        <v>0.999997991588175-0.00179991696999724i</v>
      </c>
      <c r="AF116" s="24" t="str">
        <f t="shared" si="45"/>
        <v>7.36506903135546-2.46035159592879i</v>
      </c>
      <c r="AG116" s="24">
        <f t="shared" si="32"/>
        <v>7.7651511132894626</v>
      </c>
      <c r="AH116" s="24">
        <f t="shared" si="46"/>
        <v>-0.32240155787713476</v>
      </c>
      <c r="AI116" s="24">
        <f t="shared" si="27"/>
        <v>-18.472248574802563</v>
      </c>
      <c r="AJ116" s="24">
        <f t="shared" si="47"/>
        <v>17.802998234206367</v>
      </c>
      <c r="AL116" s="24" t="str">
        <f t="shared" si="48"/>
        <v>0.00225539834871711-0.0474374485718373i</v>
      </c>
      <c r="AM116" s="24" t="str">
        <f t="shared" si="49"/>
        <v>1.00034687147555+0.156299527101544i</v>
      </c>
      <c r="AN116" s="24" t="str">
        <f t="shared" si="50"/>
        <v>-3.25097823574225+15.8340828100804i</v>
      </c>
      <c r="AO116" s="24">
        <f t="shared" si="33"/>
        <v>16.164375581065709</v>
      </c>
      <c r="AP116" s="24">
        <f t="shared" si="34"/>
        <v>1.7732974144771851</v>
      </c>
      <c r="AQ116" s="24">
        <f t="shared" si="35"/>
        <v>101.60245767100376</v>
      </c>
      <c r="AR116" s="24">
        <f t="shared" si="36"/>
        <v>24.171178655369342</v>
      </c>
      <c r="AS116" s="24">
        <f t="shared" si="51"/>
        <v>41.974176889575709</v>
      </c>
      <c r="AT116" s="24">
        <f t="shared" si="52"/>
        <v>83.130209096201199</v>
      </c>
    </row>
    <row r="117" spans="4:46">
      <c r="D117" s="13"/>
      <c r="R117" s="12"/>
      <c r="S117" s="12"/>
      <c r="T117" s="12"/>
      <c r="U117" s="12"/>
      <c r="V117" s="12"/>
      <c r="W117" s="12"/>
      <c r="X117" s="12"/>
      <c r="Y117" s="24">
        <v>115</v>
      </c>
      <c r="Z117" s="24">
        <f t="shared" si="28"/>
        <v>1180.0299807678607</v>
      </c>
      <c r="AA117" s="24" t="str">
        <f t="shared" si="37"/>
        <v>7414.34703719203i</v>
      </c>
      <c r="AB117" s="24">
        <f t="shared" si="29"/>
        <v>9.4210346008907155</v>
      </c>
      <c r="AD117" s="24" t="str">
        <f t="shared" si="30"/>
        <v>0.88881218255467-0.31384600022051i</v>
      </c>
      <c r="AE117" s="24" t="str">
        <f t="shared" si="31"/>
        <v>0.999997728686953-0.00191409963668578i</v>
      </c>
      <c r="AF117" s="24" t="str">
        <f t="shared" si="45"/>
        <v>7.26974181242939-2.58265895191042i</v>
      </c>
      <c r="AG117" s="24">
        <f t="shared" si="32"/>
        <v>7.7148735103867514</v>
      </c>
      <c r="AH117" s="24">
        <f t="shared" si="46"/>
        <v>-0.34135436075793013</v>
      </c>
      <c r="AI117" s="24">
        <f t="shared" si="27"/>
        <v>-19.558164189815525</v>
      </c>
      <c r="AJ117" s="24">
        <f t="shared" si="47"/>
        <v>17.746576199191676</v>
      </c>
      <c r="AL117" s="24" t="str">
        <f t="shared" si="48"/>
        <v>0.00199486000235371-0.044619284350208i</v>
      </c>
      <c r="AM117" s="24" t="str">
        <f t="shared" si="49"/>
        <v>1.00039227671933+0.166214725780151i</v>
      </c>
      <c r="AN117" s="24" t="str">
        <f t="shared" si="50"/>
        <v>-3.16404232991116+14.8940926618129i</v>
      </c>
      <c r="AO117" s="24">
        <f t="shared" si="33"/>
        <v>15.226462494096864</v>
      </c>
      <c r="AP117" s="24">
        <f t="shared" si="34"/>
        <v>1.7801205394136643</v>
      </c>
      <c r="AQ117" s="24">
        <f t="shared" si="35"/>
        <v>101.99339393295449</v>
      </c>
      <c r="AR117" s="24">
        <f t="shared" si="36"/>
        <v>23.651980341516371</v>
      </c>
      <c r="AS117" s="24">
        <f t="shared" si="51"/>
        <v>41.398556540708043</v>
      </c>
      <c r="AT117" s="24">
        <f t="shared" si="52"/>
        <v>82.435229743138962</v>
      </c>
    </row>
    <row r="118" spans="4:46">
      <c r="D118" s="13"/>
      <c r="R118" s="12"/>
      <c r="S118" s="12"/>
      <c r="T118" s="12"/>
      <c r="U118" s="12"/>
      <c r="V118" s="12"/>
      <c r="W118" s="12"/>
      <c r="X118" s="12"/>
      <c r="Y118" s="24">
        <v>116</v>
      </c>
      <c r="Z118" s="24">
        <f t="shared" si="28"/>
        <v>1254.8885447951977</v>
      </c>
      <c r="AA118" s="24" t="str">
        <f t="shared" si="37"/>
        <v>7884.69726680516i</v>
      </c>
      <c r="AB118" s="24">
        <f t="shared" si="29"/>
        <v>9.4210346008907155</v>
      </c>
      <c r="AD118" s="24" t="str">
        <f t="shared" si="30"/>
        <v>0.876066776298381-0.328953889637604i</v>
      </c>
      <c r="AE118" s="24" t="str">
        <f t="shared" si="31"/>
        <v>0.99999743137195-0.00203552576671349i</v>
      </c>
      <c r="AF118" s="24" t="str">
        <f t="shared" si="45"/>
        <v>7.16485877622296-2.7069826472089i</v>
      </c>
      <c r="AG118" s="24">
        <f t="shared" si="32"/>
        <v>7.6591746510645171</v>
      </c>
      <c r="AH118" s="24">
        <f t="shared" si="46"/>
        <v>-0.36123529390478043</v>
      </c>
      <c r="AI118" s="24">
        <f t="shared" si="27"/>
        <v>-20.697257751911792</v>
      </c>
      <c r="AJ118" s="24">
        <f t="shared" si="47"/>
        <v>17.683639455836065</v>
      </c>
      <c r="AL118" s="24" t="str">
        <f t="shared" si="48"/>
        <v>0.0017643652151329-0.0419672757100163i</v>
      </c>
      <c r="AM118" s="24" t="str">
        <f t="shared" si="49"/>
        <v>1.00044362544167+0.17675890162304i</v>
      </c>
      <c r="AN118" s="24" t="str">
        <f t="shared" si="50"/>
        <v>-3.08713090124475+14.0095662557287i</v>
      </c>
      <c r="AO118" s="24">
        <f t="shared" si="33"/>
        <v>14.345672653280237</v>
      </c>
      <c r="AP118" s="24">
        <f t="shared" si="34"/>
        <v>1.7876888208546458</v>
      </c>
      <c r="AQ118" s="24">
        <f t="shared" si="35"/>
        <v>102.42702451768992</v>
      </c>
      <c r="AR118" s="24">
        <f t="shared" si="36"/>
        <v>23.134418333283996</v>
      </c>
      <c r="AS118" s="24">
        <f t="shared" si="51"/>
        <v>40.818057789120061</v>
      </c>
      <c r="AT118" s="24">
        <f t="shared" si="52"/>
        <v>81.729766765778123</v>
      </c>
    </row>
    <row r="119" spans="4:46">
      <c r="D119" s="13"/>
      <c r="R119" s="12"/>
      <c r="S119" s="12"/>
      <c r="T119" s="12"/>
      <c r="U119" s="12"/>
      <c r="V119" s="12"/>
      <c r="W119" s="12"/>
      <c r="X119" s="12"/>
      <c r="Y119" s="24">
        <v>117</v>
      </c>
      <c r="Z119" s="24">
        <f t="shared" si="28"/>
        <v>1334.4959751221782</v>
      </c>
      <c r="AA119" s="24" t="str">
        <f t="shared" si="37"/>
        <v>8384.88550337796i</v>
      </c>
      <c r="AB119" s="24">
        <f t="shared" si="29"/>
        <v>9.4210346008907155</v>
      </c>
      <c r="AD119" s="24" t="str">
        <f t="shared" si="30"/>
        <v>0.862087815444363-0.344221350269494i</v>
      </c>
      <c r="AE119" s="24" t="str">
        <f t="shared" si="31"/>
        <v>0.999997095138397-0.00216465486182006i</v>
      </c>
      <c r="AF119" s="24" t="str">
        <f t="shared" si="45"/>
        <v>7.04982471384842-2.83261944136105i</v>
      </c>
      <c r="AG119" s="24">
        <f t="shared" si="32"/>
        <v>7.5976155072209695</v>
      </c>
      <c r="AH119" s="24">
        <f t="shared" si="46"/>
        <v>-0.38205712175180456</v>
      </c>
      <c r="AI119" s="24">
        <f t="shared" si="27"/>
        <v>-21.890260609294241</v>
      </c>
      <c r="AJ119" s="24">
        <f t="shared" si="47"/>
        <v>17.613546228392316</v>
      </c>
      <c r="AL119" s="24" t="str">
        <f t="shared" si="48"/>
        <v>0.00156046115468975-0.0394718395273701i</v>
      </c>
      <c r="AM119" s="24" t="str">
        <f t="shared" si="49"/>
        <v>1.00050169562459+0.187971951188483i</v>
      </c>
      <c r="AN119" s="24" t="str">
        <f t="shared" si="50"/>
        <v>-3.01909180940581+13.1773073890886i</v>
      </c>
      <c r="AO119" s="24">
        <f t="shared" si="33"/>
        <v>13.518740524921331</v>
      </c>
      <c r="AP119" s="24">
        <f t="shared" si="34"/>
        <v>1.7960220719564273</v>
      </c>
      <c r="AQ119" s="24">
        <f t="shared" si="35"/>
        <v>102.90448463544475</v>
      </c>
      <c r="AR119" s="24">
        <f t="shared" si="36"/>
        <v>22.618724647858137</v>
      </c>
      <c r="AS119" s="24">
        <f t="shared" si="51"/>
        <v>40.232270876250453</v>
      </c>
      <c r="AT119" s="24">
        <f t="shared" si="52"/>
        <v>81.014224026150501</v>
      </c>
    </row>
    <row r="120" spans="4:46">
      <c r="D120" s="13"/>
      <c r="R120" s="12"/>
      <c r="S120" s="12"/>
      <c r="T120" s="12"/>
      <c r="U120" s="12"/>
      <c r="V120" s="12"/>
      <c r="W120" s="12"/>
      <c r="X120" s="12"/>
      <c r="Y120" s="24">
        <v>118</v>
      </c>
      <c r="Z120" s="24">
        <f t="shared" si="28"/>
        <v>1419.1535296132129</v>
      </c>
      <c r="AA120" s="24" t="str">
        <f t="shared" si="37"/>
        <v>8916.80460589779i</v>
      </c>
      <c r="AB120" s="24">
        <f t="shared" si="29"/>
        <v>9.4210346008907155</v>
      </c>
      <c r="AD120" s="24" t="str">
        <f t="shared" si="30"/>
        <v>0.846808746710585-0.359548119670927i</v>
      </c>
      <c r="AE120" s="24" t="str">
        <f t="shared" si="31"/>
        <v>0.999996714891855-0.00230197557192701i</v>
      </c>
      <c r="AF120" s="24" t="str">
        <f t="shared" si="45"/>
        <v>6.92409195264154-2.95874426449451i</v>
      </c>
      <c r="AG120" s="24">
        <f t="shared" si="32"/>
        <v>7.5297554403389819</v>
      </c>
      <c r="AH120" s="24">
        <f t="shared" si="46"/>
        <v>-0.40382689632197089</v>
      </c>
      <c r="AI120" s="24">
        <f t="shared" si="27"/>
        <v>-23.137576813115999</v>
      </c>
      <c r="AJ120" s="24">
        <f t="shared" si="47"/>
        <v>17.535617418738912</v>
      </c>
      <c r="AL120" s="24" t="str">
        <f t="shared" si="48"/>
        <v>0.00138008928832071-0.0371239093021865i</v>
      </c>
      <c r="AM120" s="24" t="str">
        <f t="shared" si="49"/>
        <v>1.00056736708251+0.199896301094951i</v>
      </c>
      <c r="AN120" s="24" t="str">
        <f t="shared" si="50"/>
        <v>-2.95890447711652+12.3942923316946i</v>
      </c>
      <c r="AO120" s="24">
        <f t="shared" si="33"/>
        <v>12.742589929374788</v>
      </c>
      <c r="AP120" s="24">
        <f t="shared" si="34"/>
        <v>1.8051412800705307</v>
      </c>
      <c r="AQ120" s="24">
        <f t="shared" si="35"/>
        <v>103.4269767728843</v>
      </c>
      <c r="AR120" s="24">
        <f t="shared" si="36"/>
        <v>22.105154145106475</v>
      </c>
      <c r="AS120" s="24">
        <f t="shared" si="51"/>
        <v>39.640771563845391</v>
      </c>
      <c r="AT120" s="24">
        <f t="shared" si="52"/>
        <v>80.289399959768303</v>
      </c>
    </row>
    <row r="121" spans="4:46">
      <c r="D121" s="13"/>
      <c r="R121" s="12"/>
      <c r="S121" s="12"/>
      <c r="T121" s="12"/>
      <c r="U121" s="12"/>
      <c r="V121" s="12"/>
      <c r="W121" s="12"/>
      <c r="X121" s="12"/>
      <c r="Y121" s="24">
        <v>119</v>
      </c>
      <c r="Z121" s="24">
        <f t="shared" si="28"/>
        <v>1509.1815772837017</v>
      </c>
      <c r="AA121" s="24" t="str">
        <f t="shared" si="37"/>
        <v>9482.46751225507i</v>
      </c>
      <c r="AB121" s="24">
        <f t="shared" si="29"/>
        <v>9.4210346008907155</v>
      </c>
      <c r="AD121" s="24" t="str">
        <f t="shared" si="30"/>
        <v>0.830171536652159-0.374818846018317i</v>
      </c>
      <c r="AE121" s="24" t="str">
        <f t="shared" si="31"/>
        <v>0.999996284871022-0.00244800754390733i</v>
      </c>
      <c r="AF121" s="24" t="str">
        <f t="shared" si="45"/>
        <v>6.78718293039931-3.08440787485107i</v>
      </c>
      <c r="AG121" s="24">
        <f t="shared" si="32"/>
        <v>7.4551609016269431</v>
      </c>
      <c r="AH121" s="24">
        <f t="shared" si="46"/>
        <v>-0.42654503373630176</v>
      </c>
      <c r="AI121" s="24">
        <f t="shared" si="27"/>
        <v>-24.439230205355408</v>
      </c>
      <c r="AJ121" s="24">
        <f t="shared" si="47"/>
        <v>17.449140421734988</v>
      </c>
      <c r="AL121" s="24" t="str">
        <f t="shared" si="48"/>
        <v>0.00122054090668129-0.0349149135266923i</v>
      </c>
      <c r="AM121" s="24" t="str">
        <f t="shared" si="49"/>
        <v>1.00064163479059+0.212577068342008i</v>
      </c>
      <c r="AN121" s="24" t="str">
        <f t="shared" si="50"/>
        <v>-2.90566504919845+11.6576626137567i</v>
      </c>
      <c r="AO121" s="24">
        <f t="shared" si="33"/>
        <v>12.014324242100098</v>
      </c>
      <c r="AP121" s="24">
        <f t="shared" si="34"/>
        <v>1.815068388900243</v>
      </c>
      <c r="AQ121" s="24">
        <f t="shared" si="35"/>
        <v>103.99575821159388</v>
      </c>
      <c r="AR121" s="24">
        <f t="shared" si="36"/>
        <v>21.593986969830659</v>
      </c>
      <c r="AS121" s="24">
        <f t="shared" si="51"/>
        <v>39.043127391565648</v>
      </c>
      <c r="AT121" s="24">
        <f t="shared" si="52"/>
        <v>79.556528006238466</v>
      </c>
    </row>
    <row r="122" spans="4:46">
      <c r="D122" s="13"/>
      <c r="R122" s="12"/>
      <c r="S122" s="12"/>
      <c r="T122" s="12"/>
      <c r="U122" s="12"/>
      <c r="V122" s="12"/>
      <c r="W122" s="12"/>
      <c r="X122" s="12"/>
      <c r="Y122" s="24">
        <v>120</v>
      </c>
      <c r="Z122" s="24">
        <f t="shared" si="28"/>
        <v>1604.9208106703452</v>
      </c>
      <c r="AA122" s="24" t="str">
        <f t="shared" si="37"/>
        <v>10084.0148567907i</v>
      </c>
      <c r="AB122" s="24">
        <f t="shared" si="29"/>
        <v>9.4210346008907155</v>
      </c>
      <c r="AD122" s="24" t="str">
        <f t="shared" si="30"/>
        <v>0.812129714415098-0.389903309388504i</v>
      </c>
      <c r="AE122" s="24" t="str">
        <f t="shared" si="31"/>
        <v>0.999995798560442-0.00260330338757052i</v>
      </c>
      <c r="AF122" s="24" t="str">
        <f t="shared" si="45"/>
        <v>6.63871523445929-3.20853867970166i</v>
      </c>
      <c r="AG122" s="24">
        <f t="shared" si="32"/>
        <v>7.3734157907569227</v>
      </c>
      <c r="AH122" s="24">
        <f t="shared" si="46"/>
        <v>-0.45020438819783903</v>
      </c>
      <c r="AI122" s="24">
        <f t="shared" si="27"/>
        <v>-25.794811362005508</v>
      </c>
      <c r="AJ122" s="24">
        <f t="shared" si="47"/>
        <v>17.353374493713357</v>
      </c>
      <c r="AL122" s="24" t="str">
        <f t="shared" si="48"/>
        <v>0.00107941754363395-0.0328367538194695i</v>
      </c>
      <c r="AM122" s="24" t="str">
        <f t="shared" si="49"/>
        <v>1.00072562395732+0.226062230765016i</v>
      </c>
      <c r="AN122" s="24" t="str">
        <f t="shared" si="50"/>
        <v>-2.85857318525781+10.9647177358876i</v>
      </c>
      <c r="AO122" s="24">
        <f t="shared" si="33"/>
        <v>11.33121686683134</v>
      </c>
      <c r="AP122" s="24">
        <f t="shared" si="34"/>
        <v>1.8258260361869227</v>
      </c>
      <c r="AQ122" s="24">
        <f t="shared" si="35"/>
        <v>104.61212599861099</v>
      </c>
      <c r="AR122" s="24">
        <f t="shared" si="36"/>
        <v>21.085531030758172</v>
      </c>
      <c r="AS122" s="24">
        <f t="shared" si="51"/>
        <v>38.438905524471529</v>
      </c>
      <c r="AT122" s="24">
        <f t="shared" si="52"/>
        <v>78.817314636605488</v>
      </c>
    </row>
    <row r="123" spans="4:46">
      <c r="D123" s="13"/>
      <c r="R123" s="12"/>
      <c r="S123" s="12"/>
      <c r="T123" s="12"/>
      <c r="U123" s="12"/>
      <c r="V123" s="12"/>
      <c r="W123" s="12"/>
      <c r="X123" s="12"/>
      <c r="Y123" s="24">
        <v>121</v>
      </c>
      <c r="Z123" s="24">
        <f t="shared" si="28"/>
        <v>1706.7335351116335</v>
      </c>
      <c r="AA123" s="24" t="str">
        <f t="shared" si="37"/>
        <v>10723.7230710841i</v>
      </c>
      <c r="AB123" s="24">
        <f t="shared" si="29"/>
        <v>9.4210346008907155</v>
      </c>
      <c r="AD123" s="24" t="str">
        <f t="shared" si="30"/>
        <v>0.792651626305331-0.404657268651589i</v>
      </c>
      <c r="AE123" s="24" t="str">
        <f t="shared" si="31"/>
        <v>0.999995248591783-0.00276845076628546i</v>
      </c>
      <c r="AF123" s="24" t="str">
        <f t="shared" si="45"/>
        <v>6.4784283838247-3.3299497044925i</v>
      </c>
      <c r="AG123" s="24">
        <f t="shared" si="32"/>
        <v>7.2841333979269764</v>
      </c>
      <c r="AH123" s="24">
        <f t="shared" si="46"/>
        <v>-0.47478935838080044</v>
      </c>
      <c r="AI123" s="24">
        <f t="shared" si="27"/>
        <v>-27.203426392944166</v>
      </c>
      <c r="AJ123" s="24">
        <f t="shared" si="47"/>
        <v>17.247557812894474</v>
      </c>
      <c r="AL123" s="24" t="str">
        <f t="shared" si="48"/>
        <v>0.000954595779913688-0.0308817830898842i</v>
      </c>
      <c r="AM123" s="24" t="str">
        <f t="shared" si="49"/>
        <v>1.00082060706958+0.240402808259086i</v>
      </c>
      <c r="AN123" s="24" t="str">
        <f t="shared" si="50"/>
        <v>-2.81692031505709+10.3129078896173i</v>
      </c>
      <c r="AO123" s="24">
        <f t="shared" si="33"/>
        <v>10.690701997582389</v>
      </c>
      <c r="AP123" s="24">
        <f t="shared" si="34"/>
        <v>1.83743724070824</v>
      </c>
      <c r="AQ123" s="24">
        <f t="shared" si="35"/>
        <v>105.27739901274569</v>
      </c>
      <c r="AR123" s="24">
        <f t="shared" si="36"/>
        <v>20.58012447586211</v>
      </c>
      <c r="AS123" s="24">
        <f t="shared" si="51"/>
        <v>37.827682288756584</v>
      </c>
      <c r="AT123" s="24">
        <f t="shared" si="52"/>
        <v>78.073972619801523</v>
      </c>
    </row>
    <row r="124" spans="4:46">
      <c r="D124" s="13"/>
      <c r="R124" s="12"/>
      <c r="S124" s="12"/>
      <c r="T124" s="12"/>
      <c r="U124" s="12"/>
      <c r="V124" s="12"/>
      <c r="W124" s="12"/>
      <c r="X124" s="12"/>
      <c r="Y124" s="24">
        <v>122</v>
      </c>
      <c r="Z124" s="24">
        <f t="shared" si="28"/>
        <v>1815.0050398174897</v>
      </c>
      <c r="AA124" s="24" t="str">
        <f t="shared" si="37"/>
        <v>11404.0129986382i</v>
      </c>
      <c r="AB124" s="24">
        <f t="shared" si="29"/>
        <v>9.4210346008907155</v>
      </c>
      <c r="AD124" s="24" t="str">
        <f t="shared" si="30"/>
        <v>0.771723772625429-0.418924042349909i</v>
      </c>
      <c r="AE124" s="24" t="str">
        <f t="shared" si="31"/>
        <v>0.999994626632204-0.00294407462013183i</v>
      </c>
      <c r="AF124" s="24" t="str">
        <f t="shared" si="45"/>
        <v>6.30621128827742-3.44735160202537i</v>
      </c>
      <c r="AG124" s="24">
        <f t="shared" si="32"/>
        <v>7.186969728639772</v>
      </c>
      <c r="AH124" s="24">
        <f t="shared" si="46"/>
        <v>-0.50027506825652124</v>
      </c>
      <c r="AI124" s="24">
        <f t="shared" si="27"/>
        <v>-28.663650006717848</v>
      </c>
      <c r="AJ124" s="24">
        <f t="shared" si="47"/>
        <v>17.130916312433708</v>
      </c>
      <c r="AL124" s="24" t="str">
        <f t="shared" si="48"/>
        <v>0.000844195965887447-0.0290427839412586i</v>
      </c>
      <c r="AM124" s="24" t="str">
        <f t="shared" si="49"/>
        <v>1.00092802316816+0.255653055446552i</v>
      </c>
      <c r="AN124" s="24" t="str">
        <f t="shared" si="50"/>
        <v>-2.78007920149858+9.69982675797611i</v>
      </c>
      <c r="AO124" s="24">
        <f t="shared" si="33"/>
        <v>10.090365677286147</v>
      </c>
      <c r="AP124" s="24">
        <f t="shared" si="34"/>
        <v>1.8499250322830116</v>
      </c>
      <c r="AQ124" s="24">
        <f t="shared" si="35"/>
        <v>105.99289676541913</v>
      </c>
      <c r="AR124" s="24">
        <f t="shared" si="36"/>
        <v>20.078138109177871</v>
      </c>
      <c r="AS124" s="24">
        <f t="shared" si="51"/>
        <v>37.209054421611583</v>
      </c>
      <c r="AT124" s="24">
        <f t="shared" si="52"/>
        <v>77.329246758701288</v>
      </c>
    </row>
    <row r="125" spans="4:46">
      <c r="D125" s="13"/>
      <c r="R125" s="12"/>
      <c r="S125" s="12"/>
      <c r="T125" s="12"/>
      <c r="U125" s="12"/>
      <c r="V125" s="12"/>
      <c r="W125" s="12"/>
      <c r="X125" s="12"/>
      <c r="Y125" s="24">
        <v>123</v>
      </c>
      <c r="Z125" s="24">
        <f t="shared" si="28"/>
        <v>1930.1450559166665</v>
      </c>
      <c r="AA125" s="24" t="str">
        <f t="shared" si="37"/>
        <v>12127.4590560609i</v>
      </c>
      <c r="AB125" s="24">
        <f t="shared" si="29"/>
        <v>9.4210346008907155</v>
      </c>
      <c r="AD125" s="24" t="str">
        <f t="shared" si="30"/>
        <v>0.749354054382063-0.432536906236152i</v>
      </c>
      <c r="AE125" s="24" t="str">
        <f t="shared" si="31"/>
        <v>0.999993923258088-0.00313083952996741i</v>
      </c>
      <c r="AF125" s="24" t="str">
        <f t="shared" si="45"/>
        <v>6.1221289658094-3.55937238199487i</v>
      </c>
      <c r="AG125" s="24">
        <f t="shared" si="32"/>
        <v>7.0816378633555033</v>
      </c>
      <c r="AH125" s="24">
        <f t="shared" si="46"/>
        <v>-0.52662667036076927</v>
      </c>
      <c r="AI125" s="24">
        <f t="shared" si="27"/>
        <v>-30.173485590699322</v>
      </c>
      <c r="AJ125" s="24">
        <f t="shared" si="47"/>
        <v>17.002674285867364</v>
      </c>
      <c r="AL125" s="24" t="str">
        <f t="shared" si="48"/>
        <v>0.000746554443281201-0.0273129474744931i</v>
      </c>
      <c r="AM125" s="24" t="str">
        <f t="shared" si="49"/>
        <v>1.0010494996456+0.271870666503157i</v>
      </c>
      <c r="AN125" s="24" t="str">
        <f t="shared" si="50"/>
        <v>-2.74749467102519+9.12320445012706i</v>
      </c>
      <c r="AO125" s="24">
        <f t="shared" si="33"/>
        <v>9.5279371537668123</v>
      </c>
      <c r="AP125" s="24">
        <f t="shared" si="34"/>
        <v>1.8633120186817289</v>
      </c>
      <c r="AQ125" s="24">
        <f t="shared" si="35"/>
        <v>106.75991458646466</v>
      </c>
      <c r="AR125" s="24">
        <f t="shared" si="36"/>
        <v>19.579977677592034</v>
      </c>
      <c r="AS125" s="24">
        <f t="shared" si="51"/>
        <v>36.582651963459398</v>
      </c>
      <c r="AT125" s="24">
        <f t="shared" si="52"/>
        <v>76.586428995765345</v>
      </c>
    </row>
    <row r="126" spans="4:46">
      <c r="D126" s="13"/>
      <c r="R126" s="12"/>
      <c r="S126" s="12"/>
      <c r="T126" s="12"/>
      <c r="U126" s="12"/>
      <c r="V126" s="12"/>
      <c r="W126" s="12"/>
      <c r="X126" s="12"/>
      <c r="Y126" s="24">
        <v>124</v>
      </c>
      <c r="Z126" s="24">
        <f t="shared" si="28"/>
        <v>2052.58930699948</v>
      </c>
      <c r="AA126" s="24" t="str">
        <f t="shared" si="37"/>
        <v>12896.7989754131i</v>
      </c>
      <c r="AB126" s="24">
        <f t="shared" si="29"/>
        <v>9.4210346008907155</v>
      </c>
      <c r="AD126" s="24" t="str">
        <f t="shared" si="30"/>
        <v>0.725574718637467-0.445322348102187i</v>
      </c>
      <c r="AE126" s="24" t="str">
        <f t="shared" si="31"/>
        <v>0.999993127812272-0.00332945223132794i</v>
      </c>
      <c r="AF126" s="24" t="str">
        <f t="shared" si="45"/>
        <v>5.92644678016987-3.6645841952437i</v>
      </c>
      <c r="AG126" s="24">
        <f t="shared" si="32"/>
        <v>6.967922844163513</v>
      </c>
      <c r="AH126" s="24">
        <f t="shared" si="46"/>
        <v>-0.55379882339711395</v>
      </c>
      <c r="AI126" s="24">
        <f t="shared" si="27"/>
        <v>-31.730335279965455</v>
      </c>
      <c r="AJ126" s="24">
        <f t="shared" si="47"/>
        <v>16.862066661635215</v>
      </c>
      <c r="AL126" s="24" t="str">
        <f t="shared" si="48"/>
        <v>0.00066019888715127-0.0256858526154121i</v>
      </c>
      <c r="AM126" s="24" t="str">
        <f t="shared" si="49"/>
        <v>1.0011868768962+0.289116992901418i</v>
      </c>
      <c r="AN126" s="24" t="str">
        <f t="shared" si="50"/>
        <v>-2.71867538505749+8.58090061120923i</v>
      </c>
      <c r="AO126" s="24">
        <f t="shared" si="33"/>
        <v>9.0012805282786541</v>
      </c>
      <c r="AP126" s="24">
        <f t="shared" si="34"/>
        <v>1.8776198839441898</v>
      </c>
      <c r="AQ126" s="24">
        <f t="shared" si="35"/>
        <v>107.57969487984552</v>
      </c>
      <c r="AR126" s="24">
        <f t="shared" si="36"/>
        <v>19.086085937244288</v>
      </c>
      <c r="AS126" s="24">
        <f t="shared" si="51"/>
        <v>35.948152598879503</v>
      </c>
      <c r="AT126" s="24">
        <f t="shared" si="52"/>
        <v>75.84935959988006</v>
      </c>
    </row>
    <row r="127" spans="4:46">
      <c r="D127" s="13"/>
      <c r="R127" s="12"/>
      <c r="S127" s="12"/>
      <c r="T127" s="12"/>
      <c r="U127" s="12"/>
      <c r="V127" s="12"/>
      <c r="W127" s="12"/>
      <c r="X127" s="12"/>
      <c r="Y127" s="24">
        <v>125</v>
      </c>
      <c r="Z127" s="24">
        <f t="shared" si="28"/>
        <v>2182.8011580236971</v>
      </c>
      <c r="AA127" s="24" t="str">
        <f t="shared" si="37"/>
        <v>13714.9441645891i</v>
      </c>
      <c r="AB127" s="24">
        <f t="shared" si="29"/>
        <v>9.4210346008907155</v>
      </c>
      <c r="AD127" s="24" t="str">
        <f t="shared" si="30"/>
        <v>0.700444762830369-0.457104162008582i</v>
      </c>
      <c r="AE127" s="24" t="str">
        <f t="shared" si="31"/>
        <v>0.999992228242569-0.00354066428763556i</v>
      </c>
      <c r="AF127" s="24" t="str">
        <f t="shared" si="45"/>
        <v>5.71965022622608-3.761537025517i</v>
      </c>
      <c r="AG127" s="24">
        <f t="shared" si="32"/>
        <v>6.8456964221840373</v>
      </c>
      <c r="AH127" s="24">
        <f t="shared" si="46"/>
        <v>-0.58173539685364473</v>
      </c>
      <c r="AI127" s="24">
        <f t="shared" si="27"/>
        <v>-33.330983033081871</v>
      </c>
      <c r="AJ127" s="24">
        <f t="shared" si="47"/>
        <v>16.708352721939647</v>
      </c>
      <c r="AL127" s="24" t="str">
        <f t="shared" si="48"/>
        <v>0.000583826427539604-0.0241554460576101i</v>
      </c>
      <c r="AM127" s="24" t="str">
        <f t="shared" si="49"/>
        <v>1.00134223619128+0.307457274875056i</v>
      </c>
      <c r="AN127" s="24" t="str">
        <f t="shared" si="50"/>
        <v>-2.69318653881863+8.0708977380425i</v>
      </c>
      <c r="AO127" s="24">
        <f t="shared" si="33"/>
        <v>8.5083866878987937</v>
      </c>
      <c r="AP127" s="24">
        <f t="shared" si="34"/>
        <v>1.8928688137279837</v>
      </c>
      <c r="AQ127" s="24">
        <f t="shared" si="35"/>
        <v>108.45339419854825</v>
      </c>
      <c r="AR127" s="24">
        <f t="shared" si="36"/>
        <v>18.596944388611082</v>
      </c>
      <c r="AS127" s="24">
        <f t="shared" si="51"/>
        <v>35.305297110550725</v>
      </c>
      <c r="AT127" s="24">
        <f t="shared" si="52"/>
        <v>75.122411165466389</v>
      </c>
    </row>
    <row r="128" spans="4:46">
      <c r="D128" s="13"/>
      <c r="R128" s="12"/>
      <c r="S128" s="12"/>
      <c r="T128" s="12"/>
      <c r="U128" s="12"/>
      <c r="V128" s="12"/>
      <c r="W128" s="12"/>
      <c r="X128" s="12"/>
      <c r="Y128" s="24">
        <v>126</v>
      </c>
      <c r="Z128" s="24">
        <f t="shared" si="28"/>
        <v>2321.2733688234066</v>
      </c>
      <c r="AA128" s="24" t="str">
        <f t="shared" si="37"/>
        <v>14584.9907249385i</v>
      </c>
      <c r="AB128" s="24">
        <f t="shared" si="29"/>
        <v>9.4210346008907155</v>
      </c>
      <c r="AD128" s="24" t="str">
        <f t="shared" si="30"/>
        <v>0.674051547341674-0.467708291475497i</v>
      </c>
      <c r="AE128" s="24" t="str">
        <f t="shared" si="31"/>
        <v>0.999991210919161-0.00376527493278889i</v>
      </c>
      <c r="AF128" s="24" t="str">
        <f t="shared" si="45"/>
        <v>5.50245819990236-3.84879854448325i</v>
      </c>
      <c r="AG128" s="24">
        <f t="shared" si="32"/>
        <v>6.7149308617207</v>
      </c>
      <c r="AH128" s="24">
        <f t="shared" si="46"/>
        <v>-0.61036945203050574</v>
      </c>
      <c r="AI128" s="24">
        <f t="shared" si="27"/>
        <v>-34.971593545060735</v>
      </c>
      <c r="AJ128" s="24">
        <f t="shared" si="47"/>
        <v>16.540830908887632</v>
      </c>
      <c r="AL128" s="24" t="str">
        <f t="shared" si="48"/>
        <v>0.000516284245216973-0.0227160228868329i</v>
      </c>
      <c r="AM128" s="24" t="str">
        <f t="shared" si="49"/>
        <v>1.0015179312014+0.326960887456293i</v>
      </c>
      <c r="AN128" s="24" t="str">
        <f t="shared" si="50"/>
        <v>-2.67064338556296+7.59129472275807i</v>
      </c>
      <c r="AO128" s="24">
        <f t="shared" si="33"/>
        <v>8.0473655105646653</v>
      </c>
      <c r="AP128" s="24">
        <f t="shared" si="34"/>
        <v>1.9090768450868727</v>
      </c>
      <c r="AQ128" s="24">
        <f t="shared" si="35"/>
        <v>109.38204598962828</v>
      </c>
      <c r="AR128" s="24">
        <f t="shared" si="36"/>
        <v>18.113074547767621</v>
      </c>
      <c r="AS128" s="24">
        <f t="shared" si="51"/>
        <v>34.653905456655252</v>
      </c>
      <c r="AT128" s="24">
        <f t="shared" si="52"/>
        <v>74.410452444567539</v>
      </c>
    </row>
    <row r="129" spans="4:46">
      <c r="D129" s="13"/>
      <c r="R129" s="12"/>
      <c r="S129" s="12"/>
      <c r="T129" s="12"/>
      <c r="U129" s="12"/>
      <c r="V129" s="12"/>
      <c r="W129" s="12"/>
      <c r="X129" s="12"/>
      <c r="Y129" s="24">
        <v>127</v>
      </c>
      <c r="Z129" s="24">
        <f t="shared" si="28"/>
        <v>2468.5299588567814</v>
      </c>
      <c r="AA129" s="24" t="str">
        <f t="shared" si="37"/>
        <v>15510.2311678216i</v>
      </c>
      <c r="AB129" s="24">
        <f t="shared" si="29"/>
        <v>9.4210346008907155</v>
      </c>
      <c r="AD129" s="24" t="str">
        <f t="shared" si="30"/>
        <v>0.646511378481753-0.476968250180842i</v>
      </c>
      <c r="AE129" s="24" t="str">
        <f t="shared" si="31"/>
        <v>0.999990060428086-0.00400413409383856i</v>
      </c>
      <c r="AF129" s="24" t="str">
        <f t="shared" si="45"/>
        <v>5.27582779563087-3.92499871911091i</v>
      </c>
      <c r="AG129" s="24">
        <f t="shared" si="32"/>
        <v>6.5757109025696661</v>
      </c>
      <c r="AH129" s="24">
        <f t="shared" si="46"/>
        <v>-0.63962354082185779</v>
      </c>
      <c r="AI129" s="24">
        <f t="shared" si="27"/>
        <v>-36.647729366306173</v>
      </c>
      <c r="AJ129" s="24">
        <f t="shared" si="47"/>
        <v>16.358854228782736</v>
      </c>
      <c r="AL129" s="24" t="str">
        <f t="shared" si="48"/>
        <v>0.000456552367796105-0.0213622079320365i</v>
      </c>
      <c r="AM129" s="24" t="str">
        <f t="shared" si="49"/>
        <v>1.0017166236425+0.347701601988048i</v>
      </c>
      <c r="AN129" s="24" t="str">
        <f t="shared" si="50"/>
        <v>-2.65070549485996+7.14030063945023i</v>
      </c>
      <c r="AO129" s="24">
        <f t="shared" si="33"/>
        <v>7.6164383304937324</v>
      </c>
      <c r="AP129" s="24">
        <f t="shared" si="34"/>
        <v>1.9262591406407745</v>
      </c>
      <c r="AQ129" s="24">
        <f t="shared" si="35"/>
        <v>110.36651900721326</v>
      </c>
      <c r="AR129" s="24">
        <f t="shared" si="36"/>
        <v>17.635038599956868</v>
      </c>
      <c r="AS129" s="24">
        <f t="shared" si="51"/>
        <v>33.993892828739604</v>
      </c>
      <c r="AT129" s="24">
        <f t="shared" si="52"/>
        <v>73.71878964090709</v>
      </c>
    </row>
    <row r="130" spans="4:46">
      <c r="D130" s="13"/>
      <c r="R130" s="12"/>
      <c r="S130" s="12"/>
      <c r="T130" s="12"/>
      <c r="U130" s="12"/>
      <c r="V130" s="12"/>
      <c r="W130" s="12"/>
      <c r="X130" s="12"/>
      <c r="Y130" s="24">
        <v>128</v>
      </c>
      <c r="Z130" s="24">
        <f t="shared" si="28"/>
        <v>2625.1281902493761</v>
      </c>
      <c r="AA130" s="24" t="str">
        <f t="shared" si="37"/>
        <v>16494.1668744378i</v>
      </c>
      <c r="AB130" s="24">
        <f t="shared" si="29"/>
        <v>9.4210346008907155</v>
      </c>
      <c r="AD130" s="24" t="str">
        <f t="shared" si="30"/>
        <v>0.617968865558357-0.484730867908624i</v>
      </c>
      <c r="AE130" s="24" t="str">
        <f t="shared" si="31"/>
        <v>0.999988759337695-0.00425814560512357i</v>
      </c>
      <c r="AF130" s="24" t="str">
        <f t="shared" si="45"/>
        <v>5.04094901560698-3.98887709555596i</v>
      </c>
      <c r="AG130" s="24">
        <f t="shared" si="32"/>
        <v>6.428242952891555</v>
      </c>
      <c r="AH130" s="24">
        <f t="shared" si="46"/>
        <v>-0.66941035049974595</v>
      </c>
      <c r="AI130" s="24">
        <f t="shared" ref="AI130:AI193" si="53">AH130/(PI())*180</f>
        <v>-38.354387846008599</v>
      </c>
      <c r="AJ130" s="24">
        <f t="shared" si="47"/>
        <v>16.161845647782037</v>
      </c>
      <c r="AL130" s="24" t="str">
        <f t="shared" si="48"/>
        <v>0.000403728421437816-0.0200889378713644i</v>
      </c>
      <c r="AM130" s="24" t="str">
        <f t="shared" si="49"/>
        <v>1.00194132358505+0.36975786406573i</v>
      </c>
      <c r="AN130" s="24" t="str">
        <f t="shared" si="50"/>
        <v>-2.63307166323882+6.71622878330578i</v>
      </c>
      <c r="AO130" s="24">
        <f t="shared" si="33"/>
        <v>7.2139306521102826</v>
      </c>
      <c r="AP130" s="24">
        <f t="shared" si="34"/>
        <v>1.944427190569596</v>
      </c>
      <c r="AQ130" s="24">
        <f t="shared" si="35"/>
        <v>111.40747159011767</v>
      </c>
      <c r="AR130" s="24">
        <f t="shared" si="36"/>
        <v>17.163439262140379</v>
      </c>
      <c r="AS130" s="24">
        <f t="shared" si="51"/>
        <v>33.325284909922416</v>
      </c>
      <c r="AT130" s="24">
        <f t="shared" si="52"/>
        <v>73.053083744109074</v>
      </c>
    </row>
    <row r="131" spans="4:46">
      <c r="D131" s="13"/>
      <c r="R131" s="12"/>
      <c r="S131" s="12"/>
      <c r="T131" s="12"/>
      <c r="U131" s="12"/>
      <c r="V131" s="12"/>
      <c r="W131" s="12"/>
      <c r="X131" s="12"/>
      <c r="Y131" s="24">
        <v>129</v>
      </c>
      <c r="Z131" s="24">
        <f t="shared" ref="Z131:Z194" si="54">10^(LOG($G$6/$G$5,10)*Y131/200)</f>
        <v>2791.6606766374607</v>
      </c>
      <c r="AA131" s="24" t="str">
        <f t="shared" si="37"/>
        <v>17540.5213460795i</v>
      </c>
      <c r="AB131" s="24">
        <f t="shared" ref="AB131:AB194" si="55">$B$23/$G$3</f>
        <v>9.4210346008907155</v>
      </c>
      <c r="AD131" s="24" t="str">
        <f t="shared" ref="AD131:AD194" si="56">IMDIV(IMSUM(1,IMDIV(AA131,$G$12)),IMSUM(1,IMDIV(AA131,$G$14)))</f>
        <v>0.588594926907619-0.490862039959954i</v>
      </c>
      <c r="AE131" s="24" t="str">
        <f t="shared" ref="AE131:AE194" si="57">IMDIV(1,IMSUM(1,IMDIV(AA131,IMPRODUCT($G$10*$G$11)),IMDIV(IMPRODUCT(AA131,AA131),$G$10*$G$10)))</f>
        <v>0.999987287934541-0.00452827062595562i</v>
      </c>
      <c r="AF131" s="24" t="str">
        <f t="shared" si="45"/>
        <v>4.79922836124671-4.0393301115433i</v>
      </c>
      <c r="AG131" s="24">
        <f t="shared" ref="AG131:AG194" si="58">IMABS(AF131)</f>
        <v>6.2728606403629907</v>
      </c>
      <c r="AH131" s="24">
        <f t="shared" si="46"/>
        <v>-0.69963370495310984</v>
      </c>
      <c r="AI131" s="24">
        <f t="shared" si="53"/>
        <v>-40.086058498914277</v>
      </c>
      <c r="AJ131" s="24">
        <f t="shared" si="47"/>
        <v>15.949312784721982</v>
      </c>
      <c r="AL131" s="24" t="str">
        <f t="shared" si="48"/>
        <v>0.000357014119557027-0.0188914441077294i</v>
      </c>
      <c r="AM131" s="24" t="str">
        <f t="shared" si="49"/>
        <v>1.00219543503575+0.393213088918475i</v>
      </c>
      <c r="AN131" s="24" t="str">
        <f t="shared" si="50"/>
        <v>-2.61747540423385+6.31749096714728i</v>
      </c>
      <c r="AO131" s="24">
        <f t="shared" ref="AO131:AO194" si="59">IMABS(AN131)</f>
        <v>6.8382651024771368</v>
      </c>
      <c r="AP131" s="24">
        <f t="shared" ref="AP131:AP194" si="60">IMARGUMENT(AN131)</f>
        <v>1.9635879503257094</v>
      </c>
      <c r="AQ131" s="24">
        <f t="shared" ref="AQ131:AQ194" si="61">AP131/(PI())*180</f>
        <v>112.50530225640709</v>
      </c>
      <c r="AR131" s="24">
        <f t="shared" ref="AR131:AR194" si="62">20*LOG(AO131,10)</f>
        <v>16.698918666009494</v>
      </c>
      <c r="AS131" s="24">
        <f t="shared" si="51"/>
        <v>32.648231450731473</v>
      </c>
      <c r="AT131" s="24">
        <f t="shared" si="52"/>
        <v>72.419243757492808</v>
      </c>
    </row>
    <row r="132" spans="4:46">
      <c r="D132" s="13"/>
      <c r="R132" s="12"/>
      <c r="S132" s="12"/>
      <c r="T132" s="12"/>
      <c r="U132" s="12"/>
      <c r="V132" s="12"/>
      <c r="W132" s="12"/>
      <c r="X132" s="12"/>
      <c r="Y132" s="24">
        <v>130</v>
      </c>
      <c r="Z132" s="24">
        <f t="shared" si="54"/>
        <v>2968.757625791824</v>
      </c>
      <c r="AA132" s="24" t="str">
        <f t="shared" ref="AA132:AA195" si="63">IMPRODUCT(COMPLEX(0,1),2*PI()*Z132)</f>
        <v>18653.2542949525i</v>
      </c>
      <c r="AB132" s="24">
        <f t="shared" si="55"/>
        <v>9.4210346008907155</v>
      </c>
      <c r="AD132" s="24" t="str">
        <f t="shared" si="56"/>
        <v>0.558583417193008-0.495252111886815i</v>
      </c>
      <c r="AE132" s="24" t="str">
        <f t="shared" si="57"/>
        <v>0.999985623924686-0.0048155312746924i</v>
      </c>
      <c r="AF132" s="24" t="str">
        <f t="shared" si="45"/>
        <v>4.55226107894035-4.07545540778726i</v>
      </c>
      <c r="AG132" s="24">
        <f t="shared" si="58"/>
        <v>6.1100259992652708</v>
      </c>
      <c r="AH132" s="24">
        <f t="shared" ref="AH132:AH163" si="64">IMARGUMENT(AF132)</f>
        <v>-0.73018991140686884</v>
      </c>
      <c r="AI132" s="24">
        <f t="shared" si="53"/>
        <v>-41.836800166645077</v>
      </c>
      <c r="AJ132" s="24">
        <f t="shared" ref="AJ132:AJ163" si="65">20*LOG(AG132,10)</f>
        <v>15.720861164960468</v>
      </c>
      <c r="AL132" s="24" t="str">
        <f t="shared" ref="AL132:AL163" si="66">IMDIV(1,IMSUM(1,IMDIV(AA132,wp2e)))</f>
        <v>0.00031570329355304-0.0177652364178887i</v>
      </c>
      <c r="AM132" s="24" t="str">
        <f t="shared" ref="AM132:AM163" si="67">IMDIV(IMSUM(1,IMDIV(AA132,wz2e)),IMSUM(1,IMDIV(AA132,wp1e)))</f>
        <v>1.00248280748087+0.418155975297106i</v>
      </c>
      <c r="AN132" s="24" t="str">
        <f t="shared" ref="AN132:AN163" si="68">IMPRODUCT($AK$2,AL132,AM132)</f>
        <v>-2.60368095274841+5.94259207672577i</v>
      </c>
      <c r="AO132" s="24">
        <f t="shared" si="59"/>
        <v>6.4879546155987233</v>
      </c>
      <c r="AP132" s="24">
        <f t="shared" si="60"/>
        <v>1.9837429274332083</v>
      </c>
      <c r="AQ132" s="24">
        <f t="shared" si="61"/>
        <v>113.66009738084956</v>
      </c>
      <c r="AR132" s="24">
        <f t="shared" si="62"/>
        <v>16.242156064925194</v>
      </c>
      <c r="AS132" s="24">
        <f t="shared" ref="AS132:AS163" si="69">AR132+AJ132</f>
        <v>31.963017229885661</v>
      </c>
      <c r="AT132" s="24">
        <f t="shared" ref="AT132:AT163" si="70">AQ132+AI132</f>
        <v>71.823297214204487</v>
      </c>
    </row>
    <row r="133" spans="4:46">
      <c r="D133" s="13"/>
      <c r="R133" s="12"/>
      <c r="S133" s="12"/>
      <c r="T133" s="12"/>
      <c r="U133" s="12"/>
      <c r="V133" s="12"/>
      <c r="W133" s="12"/>
      <c r="X133" s="12"/>
      <c r="Y133" s="24">
        <v>131</v>
      </c>
      <c r="Z133" s="24">
        <f t="shared" si="54"/>
        <v>3157.0892245088098</v>
      </c>
      <c r="AA133" s="24" t="str">
        <f t="shared" si="63"/>
        <v>19836.5766288887i</v>
      </c>
      <c r="AB133" s="24">
        <f t="shared" si="55"/>
        <v>9.4210346008907155</v>
      </c>
      <c r="AD133" s="24" t="str">
        <f t="shared" si="56"/>
        <v>0.528146463182407-0.4978205187904i</v>
      </c>
      <c r="AE133" s="24" t="str">
        <f t="shared" si="57"/>
        <v>0.999983742095915-0.0051210144928424i</v>
      </c>
      <c r="AF133" s="24" t="str">
        <f t="shared" si="45"/>
        <v>4.30179277776219-4.09659000515965i</v>
      </c>
      <c r="AG133" s="24">
        <f t="shared" si="58"/>
        <v>5.9403258137227519</v>
      </c>
      <c r="AH133" s="24">
        <f t="shared" si="64"/>
        <v>-0.76096941835203591</v>
      </c>
      <c r="AI133" s="24">
        <f t="shared" si="53"/>
        <v>-43.600336010096754</v>
      </c>
      <c r="AJ133" s="24">
        <f t="shared" si="65"/>
        <v>15.476205314510711</v>
      </c>
      <c r="AL133" s="24" t="str">
        <f t="shared" si="66"/>
        <v>0.000279171291836842-0.0167060873703766i</v>
      </c>
      <c r="AM133" s="24" t="str">
        <f t="shared" si="67"/>
        <v>1.00280779417028+0.444680838995943i</v>
      </c>
      <c r="AN133" s="24" t="str">
        <f t="shared" si="68"/>
        <v>-2.59147972574184+5.59012488325631i</v>
      </c>
      <c r="AO133" s="24">
        <f t="shared" si="59"/>
        <v>6.1615958468023839</v>
      </c>
      <c r="AP133" s="24">
        <f t="shared" si="60"/>
        <v>2.0048872371447199</v>
      </c>
      <c r="AQ133" s="24">
        <f t="shared" si="61"/>
        <v>114.87157708803666</v>
      </c>
      <c r="AR133" s="24">
        <f t="shared" si="62"/>
        <v>15.793864170887922</v>
      </c>
      <c r="AS133" s="24">
        <f t="shared" si="69"/>
        <v>31.270069485398633</v>
      </c>
      <c r="AT133" s="24">
        <f t="shared" si="70"/>
        <v>71.271241077939905</v>
      </c>
    </row>
    <row r="134" spans="4:46">
      <c r="D134" s="13"/>
      <c r="R134" s="12"/>
      <c r="S134" s="12"/>
      <c r="T134" s="12"/>
      <c r="U134" s="12"/>
      <c r="V134" s="12"/>
      <c r="W134" s="12"/>
      <c r="X134" s="12"/>
      <c r="Y134" s="24">
        <v>132</v>
      </c>
      <c r="Z134" s="24">
        <f t="shared" si="54"/>
        <v>3357.3681747937244</v>
      </c>
      <c r="AA134" s="24" t="str">
        <f t="shared" si="63"/>
        <v>21094.9663866563i</v>
      </c>
      <c r="AB134" s="24">
        <f t="shared" si="55"/>
        <v>9.4210346008907155</v>
      </c>
      <c r="AD134" s="24" t="str">
        <f t="shared" si="56"/>
        <v>0.497508714358242-0.49851932632085i</v>
      </c>
      <c r="AE134" s="24" t="str">
        <f t="shared" si="57"/>
        <v>0.999981613935741-0.00544587615369105i</v>
      </c>
      <c r="AF134" s="24" t="str">
        <f t="shared" si="45"/>
        <v>4.0496721172488-4.10233944386419i</v>
      </c>
      <c r="AG134" s="24">
        <f t="shared" si="58"/>
        <v>5.7644629558967875</v>
      </c>
      <c r="AH134" s="24">
        <f t="shared" si="64"/>
        <v>-0.79185872757353559</v>
      </c>
      <c r="AI134" s="24">
        <f t="shared" si="53"/>
        <v>-45.370163060563215</v>
      </c>
      <c r="AJ134" s="24">
        <f t="shared" si="65"/>
        <v>15.215177052545432</v>
      </c>
      <c r="AL134" s="24" t="str">
        <f t="shared" si="66"/>
        <v>0.00024686559250312-0.0157100175010201i</v>
      </c>
      <c r="AM134" s="24" t="str">
        <f t="shared" si="67"/>
        <v>1.00317531802262+0.472887967197598i</v>
      </c>
      <c r="AN134" s="24" t="str">
        <f t="shared" si="68"/>
        <v>-2.580687187605+5.25876510947591i</v>
      </c>
      <c r="AO134" s="24">
        <f t="shared" si="59"/>
        <v>5.8578628216193129</v>
      </c>
      <c r="AP134" s="24">
        <f t="shared" si="60"/>
        <v>2.0270086538379459</v>
      </c>
      <c r="AQ134" s="24">
        <f t="shared" si="61"/>
        <v>116.13904090140876</v>
      </c>
      <c r="AR134" s="24">
        <f t="shared" si="62"/>
        <v>15.354783944687862</v>
      </c>
      <c r="AS134" s="24">
        <f t="shared" si="69"/>
        <v>30.569960997233295</v>
      </c>
      <c r="AT134" s="24">
        <f t="shared" si="70"/>
        <v>70.768877840845548</v>
      </c>
    </row>
    <row r="135" spans="4:46">
      <c r="D135" s="13"/>
      <c r="R135" s="12"/>
      <c r="S135" s="12"/>
      <c r="T135" s="12"/>
      <c r="U135" s="12"/>
      <c r="V135" s="12"/>
      <c r="W135" s="12"/>
      <c r="X135" s="12"/>
      <c r="Y135" s="24">
        <v>133</v>
      </c>
      <c r="Z135" s="24">
        <f t="shared" si="54"/>
        <v>3570.3523909342362</v>
      </c>
      <c r="AA135" s="24" t="str">
        <f t="shared" si="63"/>
        <v>22433.1856841715i</v>
      </c>
      <c r="AB135" s="24">
        <f t="shared" si="55"/>
        <v>9.4210346008907155</v>
      </c>
      <c r="AD135" s="24" t="str">
        <f t="shared" si="56"/>
        <v>0.466900822193507-0.497335389880656i</v>
      </c>
      <c r="AE135" s="24" t="str">
        <f t="shared" si="57"/>
        <v>0.999979207199397-0.00579134543083632i</v>
      </c>
      <c r="AF135" s="24" t="str">
        <f t="shared" si="45"/>
        <v>3.79779714780276-4.09259555169026i</v>
      </c>
      <c r="AG135" s="24">
        <f t="shared" si="58"/>
        <v>5.5832429219561703</v>
      </c>
      <c r="AH135" s="24">
        <f t="shared" si="64"/>
        <v>-0.82274248333047006</v>
      </c>
      <c r="AI135" s="24">
        <f t="shared" si="53"/>
        <v>-47.139671920948423</v>
      </c>
      <c r="AJ135" s="24">
        <f t="shared" si="65"/>
        <v>14.937730480597933</v>
      </c>
      <c r="AL135" s="24" t="str">
        <f t="shared" si="66"/>
        <v>0.000218297492085767-0.0147732812296631i</v>
      </c>
      <c r="AM135" s="24" t="str">
        <f t="shared" si="67"/>
        <v>1.00359094614706+0.502883994893842i</v>
      </c>
      <c r="AN135" s="24" t="str">
        <f t="shared" si="68"/>
        <v>-2.57114007428885+4.94726674380521i</v>
      </c>
      <c r="AO135" s="24">
        <f t="shared" si="59"/>
        <v>5.5755008309545673</v>
      </c>
      <c r="AP135" s="24">
        <f t="shared" si="60"/>
        <v>2.050086692460396</v>
      </c>
      <c r="AQ135" s="24">
        <f t="shared" si="61"/>
        <v>117.46131511391505</v>
      </c>
      <c r="AR135" s="24">
        <f t="shared" si="62"/>
        <v>14.925677697545067</v>
      </c>
      <c r="AS135" s="24">
        <f t="shared" si="69"/>
        <v>29.863408178143001</v>
      </c>
      <c r="AT135" s="24">
        <f t="shared" si="70"/>
        <v>70.321643192966633</v>
      </c>
    </row>
    <row r="136" spans="4:46">
      <c r="D136" s="13"/>
      <c r="R136" s="12"/>
      <c r="S136" s="12"/>
      <c r="T136" s="12"/>
      <c r="U136" s="12"/>
      <c r="V136" s="12"/>
      <c r="W136" s="12"/>
      <c r="X136" s="12"/>
      <c r="Y136" s="24">
        <v>134</v>
      </c>
      <c r="Z136" s="24">
        <f t="shared" si="54"/>
        <v>3796.8478676703417</v>
      </c>
      <c r="AA136" s="24" t="str">
        <f t="shared" si="63"/>
        <v>23856.2987357424i</v>
      </c>
      <c r="AB136" s="24">
        <f t="shared" si="55"/>
        <v>9.4210346008907155</v>
      </c>
      <c r="AD136" s="24" t="str">
        <f t="shared" si="56"/>
        <v>0.436552541989296-0.494290953489083i</v>
      </c>
      <c r="AE136" s="24" t="str">
        <f t="shared" si="57"/>
        <v>0.999976485421276-0.00615872944297407i</v>
      </c>
      <c r="AF136" s="24" t="str">
        <f t="shared" si="45"/>
        <v>3.54805854512251-4.06754137210317i</v>
      </c>
      <c r="AG136" s="24">
        <f t="shared" si="58"/>
        <v>5.397556137122411</v>
      </c>
      <c r="AH136" s="24">
        <f t="shared" si="64"/>
        <v>-0.85350564733615775</v>
      </c>
      <c r="AI136" s="24">
        <f t="shared" si="53"/>
        <v>-48.902271382943091</v>
      </c>
      <c r="AJ136" s="24">
        <f t="shared" si="65"/>
        <v>14.643943357932539</v>
      </c>
      <c r="AL136" s="24" t="str">
        <f t="shared" si="66"/>
        <v>0.000193034748124143-0.0138923534978836i</v>
      </c>
      <c r="AM136" s="24" t="str">
        <f t="shared" si="67"/>
        <v>1.00406097410655+0.534782304701524i</v>
      </c>
      <c r="AN136" s="24" t="str">
        <f t="shared" si="68"/>
        <v>-2.56269393534718+4.65445759591503i</v>
      </c>
      <c r="AO136" s="24">
        <f t="shared" si="59"/>
        <v>5.313320592476642</v>
      </c>
      <c r="AP136" s="24">
        <f t="shared" si="60"/>
        <v>2.0740917614818084</v>
      </c>
      <c r="AQ136" s="24">
        <f t="shared" si="61"/>
        <v>118.83670425576223</v>
      </c>
      <c r="AR136" s="24">
        <f t="shared" si="62"/>
        <v>14.507320418864872</v>
      </c>
      <c r="AS136" s="24">
        <f t="shared" si="69"/>
        <v>29.151263776797411</v>
      </c>
      <c r="AT136" s="24">
        <f t="shared" si="70"/>
        <v>69.934432872819144</v>
      </c>
    </row>
    <row r="137" spans="4:46">
      <c r="D137" s="13"/>
      <c r="R137" s="12"/>
      <c r="S137" s="12"/>
      <c r="T137" s="12"/>
      <c r="U137" s="12"/>
      <c r="V137" s="12"/>
      <c r="W137" s="12"/>
      <c r="X137" s="12"/>
      <c r="Y137" s="24">
        <v>135</v>
      </c>
      <c r="Z137" s="24">
        <f t="shared" si="54"/>
        <v>4037.7117303148448</v>
      </c>
      <c r="AA137" s="24" t="str">
        <f t="shared" si="63"/>
        <v>25369.6910185409i</v>
      </c>
      <c r="AB137" s="24">
        <f t="shared" si="55"/>
        <v>9.4210346008907155</v>
      </c>
      <c r="AD137" s="24" t="str">
        <f t="shared" si="56"/>
        <v>0.406685891383451-0.489442638051982i</v>
      </c>
      <c r="AE137" s="24" t="str">
        <f t="shared" si="57"/>
        <v>0.999973407362437-0.00654941819227848i</v>
      </c>
      <c r="AF137" s="24" t="str">
        <f t="shared" si="45"/>
        <v>3.30228331098323-4.02764283861323i</v>
      </c>
      <c r="AG137" s="24">
        <f t="shared" si="58"/>
        <v>5.2083569291505745</v>
      </c>
      <c r="AH137" s="24">
        <f t="shared" si="64"/>
        <v>-0.88403566104867637</v>
      </c>
      <c r="AI137" s="24">
        <f t="shared" si="53"/>
        <v>-50.651512317146938</v>
      </c>
      <c r="AJ137" s="24">
        <f t="shared" si="65"/>
        <v>14.33401477636745</v>
      </c>
      <c r="AL137" s="24" t="str">
        <f t="shared" si="66"/>
        <v>0.000170695066923945-0.0130639171046847i</v>
      </c>
      <c r="AM137" s="24" t="str">
        <f t="shared" si="67"/>
        <v>1.00459252119406+0.568703451459525i</v>
      </c>
      <c r="AN137" s="24" t="str">
        <f t="shared" si="68"/>
        <v>-2.55522095760636+4.3792350860661i</v>
      </c>
      <c r="AO137" s="24">
        <f t="shared" si="59"/>
        <v>5.0701927065174868</v>
      </c>
      <c r="AP137" s="24">
        <f t="shared" si="60"/>
        <v>2.0989844349027074</v>
      </c>
      <c r="AQ137" s="24">
        <f t="shared" si="61"/>
        <v>120.26294938357722</v>
      </c>
      <c r="AR137" s="24">
        <f t="shared" si="62"/>
        <v>14.100489323892326</v>
      </c>
      <c r="AS137" s="24">
        <f t="shared" si="69"/>
        <v>28.434504100259776</v>
      </c>
      <c r="AT137" s="24">
        <f t="shared" si="70"/>
        <v>69.611437066430284</v>
      </c>
    </row>
    <row r="138" spans="4:46">
      <c r="D138" s="13"/>
      <c r="R138" s="12"/>
      <c r="S138" s="12"/>
      <c r="T138" s="12"/>
      <c r="U138" s="12"/>
      <c r="V138" s="12"/>
      <c r="W138" s="12"/>
      <c r="X138" s="12"/>
      <c r="Y138" s="24">
        <v>136</v>
      </c>
      <c r="Z138" s="24">
        <f t="shared" si="54"/>
        <v>4293.8554783669315</v>
      </c>
      <c r="AA138" s="24" t="str">
        <f t="shared" si="63"/>
        <v>26979.0896528277i</v>
      </c>
      <c r="AB138" s="24">
        <f t="shared" si="55"/>
        <v>9.4210346008907155</v>
      </c>
      <c r="AD138" s="24" t="str">
        <f t="shared" si="56"/>
        <v>0.377508793559611-0.48287890375513i</v>
      </c>
      <c r="AE138" s="24" t="str">
        <f t="shared" si="57"/>
        <v>0.999969926385768-0.00696488981478833i</v>
      </c>
      <c r="AF138" s="24" t="str">
        <f t="shared" si="45"/>
        <v>3.06218246265815-3.97362789257604i</v>
      </c>
      <c r="AG138" s="24">
        <f t="shared" si="58"/>
        <v>5.0166403163142395</v>
      </c>
      <c r="AH138" s="24">
        <f t="shared" si="64"/>
        <v>-0.91422449785844162</v>
      </c>
      <c r="AI138" s="24">
        <f t="shared" si="53"/>
        <v>-52.381205254755677</v>
      </c>
      <c r="AJ138" s="24">
        <f t="shared" si="65"/>
        <v>14.008259280910796</v>
      </c>
      <c r="AL138" s="24" t="str">
        <f t="shared" si="66"/>
        <v>0.000150940340080105-0.012284850715163i</v>
      </c>
      <c r="AM138" s="24" t="str">
        <f t="shared" si="67"/>
        <v>1.00519363815865+0.604775613060937i</v>
      </c>
      <c r="AN138" s="24" t="str">
        <f t="shared" si="68"/>
        <v>-2.54860803823392+4.12056225993336i</v>
      </c>
      <c r="AO138" s="24">
        <f t="shared" si="59"/>
        <v>4.8450424425940453</v>
      </c>
      <c r="AP138" s="24">
        <f t="shared" si="60"/>
        <v>2.1247148949487205</v>
      </c>
      <c r="AQ138" s="24">
        <f t="shared" si="61"/>
        <v>121.73719614914376</v>
      </c>
      <c r="AR138" s="24">
        <f t="shared" si="62"/>
        <v>13.705951716502065</v>
      </c>
      <c r="AS138" s="24">
        <f t="shared" si="69"/>
        <v>27.714210997412863</v>
      </c>
      <c r="AT138" s="24">
        <f t="shared" si="70"/>
        <v>69.355990894388071</v>
      </c>
    </row>
    <row r="139" spans="4:46">
      <c r="D139" s="13"/>
      <c r="R139" s="12"/>
      <c r="S139" s="12"/>
      <c r="T139" s="12"/>
      <c r="U139" s="12"/>
      <c r="V139" s="12"/>
      <c r="W139" s="12"/>
      <c r="X139" s="12"/>
      <c r="Y139" s="24">
        <v>137</v>
      </c>
      <c r="Z139" s="24">
        <f t="shared" si="54"/>
        <v>4566.248434893605</v>
      </c>
      <c r="AA139" s="24" t="str">
        <f t="shared" si="63"/>
        <v>28690.5850750553i</v>
      </c>
      <c r="AB139" s="24">
        <f t="shared" si="55"/>
        <v>9.4210346008907155</v>
      </c>
      <c r="AD139" s="24" t="str">
        <f t="shared" si="56"/>
        <v>0.349209581794784-0.474716195030559i</v>
      </c>
      <c r="AE139" s="24" t="str">
        <f t="shared" si="57"/>
        <v>0.99996598974937-0.00740671616233356i</v>
      </c>
      <c r="AF139" s="24" t="str">
        <f t="shared" si="45"/>
        <v>2.82930581036728-3.90645475977255i</v>
      </c>
      <c r="AG139" s="24">
        <f t="shared" si="58"/>
        <v>4.8234178917783668</v>
      </c>
      <c r="AH139" s="24">
        <f t="shared" si="64"/>
        <v>-0.94397051690406464</v>
      </c>
      <c r="AI139" s="24">
        <f t="shared" si="53"/>
        <v>-54.085526603385631</v>
      </c>
      <c r="AJ139" s="24">
        <f t="shared" si="65"/>
        <v>13.667097800043532</v>
      </c>
      <c r="AL139" s="24" t="str">
        <f t="shared" si="66"/>
        <v>0.000133471544186972-0.0115522175158653i</v>
      </c>
      <c r="AM139" s="24" t="str">
        <f t="shared" si="67"/>
        <v>1.00587342900489+0.643135069043012i</v>
      </c>
      <c r="AN139" s="24" t="str">
        <f t="shared" si="68"/>
        <v>-2.54275507859513+3.87746402019625i</v>
      </c>
      <c r="AO139" s="24">
        <f t="shared" si="59"/>
        <v>4.6368448990275475</v>
      </c>
      <c r="AP139" s="24">
        <f t="shared" si="60"/>
        <v>2.151222598130921</v>
      </c>
      <c r="AQ139" s="24">
        <f t="shared" si="61"/>
        <v>123.25597566606935</v>
      </c>
      <c r="AR139" s="24">
        <f t="shared" si="62"/>
        <v>13.324451382556855</v>
      </c>
      <c r="AS139" s="24">
        <f t="shared" si="69"/>
        <v>26.991549182600387</v>
      </c>
      <c r="AT139" s="24">
        <f t="shared" si="70"/>
        <v>69.170449062683716</v>
      </c>
    </row>
    <row r="140" spans="4:46">
      <c r="D140" s="13"/>
      <c r="R140" s="12"/>
      <c r="S140" s="12"/>
      <c r="T140" s="12"/>
      <c r="U140" s="12"/>
      <c r="V140" s="12"/>
      <c r="W140" s="12"/>
      <c r="X140" s="12"/>
      <c r="Y140" s="24">
        <v>138</v>
      </c>
      <c r="Z140" s="24">
        <f t="shared" si="54"/>
        <v>4855.9214147324665</v>
      </c>
      <c r="AA140" s="24" t="str">
        <f t="shared" si="63"/>
        <v>30510.6540858657i</v>
      </c>
      <c r="AB140" s="24">
        <f t="shared" si="55"/>
        <v>9.4210346008907155</v>
      </c>
      <c r="AD140" s="24" t="str">
        <f t="shared" si="56"/>
        <v>0.321952653469024-0.465094073257403i</v>
      </c>
      <c r="AE140" s="24" t="str">
        <f t="shared" si="57"/>
        <v>0.999961537807451-0.00787656873672371i</v>
      </c>
      <c r="AF140" s="24" t="str">
        <f t="shared" ref="AF140:AF202" si="71">IMPRODUCT(AB140,AC$2,AD140,AE140)</f>
        <v>2.60500619374725-3.82727189696892i</v>
      </c>
      <c r="AG140" s="24">
        <f t="shared" si="58"/>
        <v>4.6296940981872243</v>
      </c>
      <c r="AH140" s="24">
        <f t="shared" si="64"/>
        <v>-0.97318004626255183</v>
      </c>
      <c r="AI140" s="24">
        <f t="shared" si="53"/>
        <v>-55.759109357190425</v>
      </c>
      <c r="AJ140" s="24">
        <f t="shared" si="65"/>
        <v>13.31104592896294</v>
      </c>
      <c r="AL140" s="24" t="str">
        <f t="shared" si="66"/>
        <v>0.000118024227828215-0.0108632544897862i</v>
      </c>
      <c r="AM140" s="24" t="str">
        <f t="shared" si="67"/>
        <v>1.00664218870007+0.68392670852533i</v>
      </c>
      <c r="AN140" s="24" t="str">
        <f t="shared" si="68"/>
        <v>-2.53757347350364+3.64902356592688i</v>
      </c>
      <c r="AO140" s="24">
        <f t="shared" si="59"/>
        <v>4.4446205820203648</v>
      </c>
      <c r="AP140" s="24">
        <f t="shared" si="60"/>
        <v>2.1784362144052136</v>
      </c>
      <c r="AQ140" s="24">
        <f t="shared" si="61"/>
        <v>124.81520102387485</v>
      </c>
      <c r="AR140" s="24">
        <f t="shared" si="62"/>
        <v>12.956693861049597</v>
      </c>
      <c r="AS140" s="24">
        <f t="shared" si="69"/>
        <v>26.267739790012538</v>
      </c>
      <c r="AT140" s="24">
        <f t="shared" si="70"/>
        <v>69.056091666684424</v>
      </c>
    </row>
    <row r="141" spans="4:46">
      <c r="D141" s="13"/>
      <c r="R141" s="12"/>
      <c r="S141" s="12"/>
      <c r="T141" s="12"/>
      <c r="U141" s="12"/>
      <c r="V141" s="12"/>
      <c r="W141" s="12"/>
      <c r="X141" s="12"/>
      <c r="Y141" s="24">
        <v>139</v>
      </c>
      <c r="Z141" s="24">
        <f t="shared" si="54"/>
        <v>5163.9706253973836</v>
      </c>
      <c r="AA141" s="24" t="str">
        <f t="shared" si="63"/>
        <v>32446.1843602037i</v>
      </c>
      <c r="AB141" s="24">
        <f t="shared" si="55"/>
        <v>9.4210346008907155</v>
      </c>
      <c r="AD141" s="24" t="str">
        <f t="shared" si="56"/>
        <v>0.295875449603144-0.454169701306641i</v>
      </c>
      <c r="AE141" s="24" t="str">
        <f t="shared" si="57"/>
        <v>0.999956503106602-0.0083762249981711i</v>
      </c>
      <c r="AF141" s="24" t="str">
        <f t="shared" si="71"/>
        <v>2.39041462620349-3.7373726047432i</v>
      </c>
      <c r="AG141" s="24">
        <f t="shared" si="58"/>
        <v>4.4364440796489859</v>
      </c>
      <c r="AH141" s="24">
        <f t="shared" si="64"/>
        <v>-1.0017686441146141</v>
      </c>
      <c r="AI141" s="24">
        <f t="shared" si="53"/>
        <v>-57.397115356310366</v>
      </c>
      <c r="AJ141" s="24">
        <f t="shared" si="65"/>
        <v>12.940700234160261</v>
      </c>
      <c r="AL141" s="24" t="str">
        <f t="shared" si="66"/>
        <v>0.000104364518538805-0.010215362283643i</v>
      </c>
      <c r="AM141" s="24" t="str">
        <f t="shared" si="67"/>
        <v>1.00751155886165+0.727304569153061i</v>
      </c>
      <c r="AN141" s="24" t="str">
        <f t="shared" si="68"/>
        <v>-2.53298477333452+3.43437903070458i</v>
      </c>
      <c r="AO141" s="24">
        <f t="shared" si="59"/>
        <v>4.2674314509418734</v>
      </c>
      <c r="AP141" s="24">
        <f t="shared" si="60"/>
        <v>2.206273881483634</v>
      </c>
      <c r="AQ141" s="24">
        <f t="shared" si="61"/>
        <v>126.41018185895861</v>
      </c>
      <c r="AR141" s="24">
        <f t="shared" si="62"/>
        <v>12.603331072751057</v>
      </c>
      <c r="AS141" s="24">
        <f t="shared" si="69"/>
        <v>25.544031306911318</v>
      </c>
      <c r="AT141" s="24">
        <f t="shared" si="70"/>
        <v>69.013066502648243</v>
      </c>
    </row>
    <row r="142" spans="4:46">
      <c r="D142" s="13"/>
      <c r="R142" s="12"/>
      <c r="S142" s="12"/>
      <c r="T142" s="12"/>
      <c r="U142" s="12"/>
      <c r="V142" s="12"/>
      <c r="W142" s="12"/>
      <c r="X142" s="12"/>
      <c r="Y142" s="24">
        <v>140</v>
      </c>
      <c r="Z142" s="24">
        <f t="shared" si="54"/>
        <v>5491.5618154492358</v>
      </c>
      <c r="AA142" s="24" t="str">
        <f t="shared" si="63"/>
        <v>34504.5005122991i</v>
      </c>
      <c r="AB142" s="24">
        <f t="shared" si="55"/>
        <v>9.4210346008907155</v>
      </c>
      <c r="AD142" s="24" t="str">
        <f t="shared" si="56"/>
        <v>0.271086816480365-0.442112061126315i</v>
      </c>
      <c r="AE142" s="24" t="str">
        <f t="shared" si="57"/>
        <v>0.999950809363793-0.00890757507124011i</v>
      </c>
      <c r="AF142" s="24" t="str">
        <f t="shared" si="71"/>
        <v>2.18642681254812-3.63814744347787i</v>
      </c>
      <c r="AG142" s="24">
        <f t="shared" si="58"/>
        <v>4.2445940945058451</v>
      </c>
      <c r="AH142" s="24">
        <f t="shared" si="64"/>
        <v>-1.0296620096890154</v>
      </c>
      <c r="AI142" s="24">
        <f t="shared" si="53"/>
        <v>-58.995287480139062</v>
      </c>
      <c r="AJ142" s="24">
        <f t="shared" si="65"/>
        <v>12.556723309998199</v>
      </c>
      <c r="AL142" s="24" t="str">
        <f t="shared" si="66"/>
        <v>0.0000922855900765151-0.0096060956400808i</v>
      </c>
      <c r="AM142" s="24" t="str">
        <f t="shared" si="67"/>
        <v>1.00849470376562+0.773432408765898i</v>
      </c>
      <c r="AN142" s="24" t="str">
        <f t="shared" si="68"/>
        <v>-2.52891949900841+3.23272031039217i</v>
      </c>
      <c r="AO142" s="24">
        <f t="shared" si="59"/>
        <v>4.1043774726122582</v>
      </c>
      <c r="AP142" s="24">
        <f t="shared" si="60"/>
        <v>2.2346438036282112</v>
      </c>
      <c r="AQ142" s="24">
        <f t="shared" si="61"/>
        <v>128.03565866295764</v>
      </c>
      <c r="AR142" s="24">
        <f t="shared" si="62"/>
        <v>12.264945905301143</v>
      </c>
      <c r="AS142" s="24">
        <f t="shared" si="69"/>
        <v>24.821669215299345</v>
      </c>
      <c r="AT142" s="24">
        <f t="shared" si="70"/>
        <v>69.040371182818575</v>
      </c>
    </row>
    <row r="143" spans="4:46">
      <c r="D143" s="13"/>
      <c r="R143" s="12"/>
      <c r="S143" s="12"/>
      <c r="T143" s="12"/>
      <c r="U143" s="12"/>
      <c r="V143" s="12"/>
      <c r="W143" s="12"/>
      <c r="X143" s="12"/>
      <c r="Y143" s="24">
        <v>141</v>
      </c>
      <c r="Z143" s="24">
        <f t="shared" si="54"/>
        <v>5839.9346860303567</v>
      </c>
      <c r="AA143" s="24" t="str">
        <f t="shared" si="63"/>
        <v>36693.3918141544i</v>
      </c>
      <c r="AB143" s="24">
        <f t="shared" si="55"/>
        <v>9.4210346008907155</v>
      </c>
      <c r="AD143" s="24" t="str">
        <f t="shared" si="56"/>
        <v>0.24766669440454-0.429096263398583i</v>
      </c>
      <c r="AE143" s="24" t="str">
        <f t="shared" si="57"/>
        <v>0.999944370310582-0.00947262887299981i</v>
      </c>
      <c r="AF143" s="24" t="str">
        <f t="shared" si="71"/>
        <v>1.99370058775689-3.53103740701778i</v>
      </c>
      <c r="AG143" s="24">
        <f t="shared" si="58"/>
        <v>4.0550052038660827</v>
      </c>
      <c r="AH143" s="24">
        <f t="shared" si="64"/>
        <v>-1.0567965388075853</v>
      </c>
      <c r="AI143" s="24">
        <f t="shared" si="53"/>
        <v>-60.549981477707952</v>
      </c>
      <c r="AJ143" s="24">
        <f t="shared" si="65"/>
        <v>12.159828317719693</v>
      </c>
      <c r="AL143" s="24" t="str">
        <f t="shared" si="66"/>
        <v>0.0000816045371321991-0.00903315436775651i</v>
      </c>
      <c r="AM143" s="24" t="str">
        <f t="shared" si="67"/>
        <v>1.00960650931974+0.822484311572586i</v>
      </c>
      <c r="AN143" s="24" t="str">
        <f t="shared" si="68"/>
        <v>-2.52531609211222+3.04328607161182i</v>
      </c>
      <c r="AO143" s="24">
        <f t="shared" si="59"/>
        <v>3.9545937185439719</v>
      </c>
      <c r="AP143" s="24">
        <f t="shared" si="60"/>
        <v>2.2634452067876452</v>
      </c>
      <c r="AQ143" s="24">
        <f t="shared" si="61"/>
        <v>129.68585750804795</v>
      </c>
      <c r="AR143" s="24">
        <f t="shared" si="62"/>
        <v>11.942037443865505</v>
      </c>
      <c r="AS143" s="24">
        <f t="shared" si="69"/>
        <v>24.101865761585199</v>
      </c>
      <c r="AT143" s="24">
        <f t="shared" si="70"/>
        <v>69.13587603034</v>
      </c>
    </row>
    <row r="144" spans="4:46">
      <c r="D144" s="13"/>
      <c r="R144" s="12"/>
      <c r="S144" s="12"/>
      <c r="T144" s="12"/>
      <c r="U144" s="12"/>
      <c r="V144" s="12"/>
      <c r="W144" s="12"/>
      <c r="X144" s="12"/>
      <c r="Y144" s="24">
        <v>142</v>
      </c>
      <c r="Z144" s="24">
        <f t="shared" si="54"/>
        <v>6210.4075822572904</v>
      </c>
      <c r="AA144" s="24" t="str">
        <f t="shared" si="63"/>
        <v>39021.1416724357i</v>
      </c>
      <c r="AB144" s="24">
        <f t="shared" si="55"/>
        <v>9.4210346008907155</v>
      </c>
      <c r="AD144" s="24" t="str">
        <f t="shared" si="56"/>
        <v>0.225666987357642-0.415298254859184i</v>
      </c>
      <c r="AE144" s="24" t="str">
        <f t="shared" si="57"/>
        <v>0.999937088386039-0.0100735236895139i</v>
      </c>
      <c r="AF144" s="24" t="str">
        <f t="shared" si="71"/>
        <v>1.81266307344571-3.41749036872434i</v>
      </c>
      <c r="AG144" s="24">
        <f t="shared" si="58"/>
        <v>3.8684606548544958</v>
      </c>
      <c r="AH144" s="24">
        <f t="shared" si="64"/>
        <v>-1.0831195394867825</v>
      </c>
      <c r="AI144" s="24">
        <f t="shared" si="53"/>
        <v>-62.058178320745959</v>
      </c>
      <c r="AJ144" s="24">
        <f t="shared" si="65"/>
        <v>11.75076368231116</v>
      </c>
      <c r="AL144" s="24" t="str">
        <f t="shared" si="66"/>
        <v>0.00007215961063865-0.00849437482274255i</v>
      </c>
      <c r="AM144" s="24" t="str">
        <f t="shared" si="67"/>
        <v>1.01086380798668+0.874645330664113i</v>
      </c>
      <c r="AN144" s="24" t="str">
        <f t="shared" si="68"/>
        <v>-2.52211998442056+2.8653609321226i</v>
      </c>
      <c r="AO144" s="24">
        <f t="shared" si="59"/>
        <v>3.8172480253643539</v>
      </c>
      <c r="AP144" s="24">
        <f t="shared" si="60"/>
        <v>2.2925696407277041</v>
      </c>
      <c r="AQ144" s="24">
        <f t="shared" si="61"/>
        <v>131.3545646535209</v>
      </c>
      <c r="AR144" s="24">
        <f t="shared" si="62"/>
        <v>11.635007582254779</v>
      </c>
      <c r="AS144" s="24">
        <f t="shared" si="69"/>
        <v>23.385771264565939</v>
      </c>
      <c r="AT144" s="24">
        <f t="shared" si="70"/>
        <v>69.296386332774944</v>
      </c>
    </row>
    <row r="145" spans="4:46">
      <c r="D145" s="13"/>
      <c r="R145" s="12"/>
      <c r="S145" s="12"/>
      <c r="T145" s="12"/>
      <c r="U145" s="12"/>
      <c r="V145" s="12"/>
      <c r="W145" s="12"/>
      <c r="X145" s="12"/>
      <c r="Y145" s="24">
        <v>143</v>
      </c>
      <c r="Z145" s="24">
        <f t="shared" si="54"/>
        <v>6604.3824822253073</v>
      </c>
      <c r="AA145" s="24" t="str">
        <f t="shared" si="63"/>
        <v>41496.5589753123i</v>
      </c>
      <c r="AB145" s="24">
        <f t="shared" si="55"/>
        <v>9.4210346008907155</v>
      </c>
      <c r="AD145" s="24" t="str">
        <f t="shared" si="56"/>
        <v>0.20511340363607-0.400890155290533i</v>
      </c>
      <c r="AE145" s="24" t="str">
        <f t="shared" si="57"/>
        <v>0.999928853258567-0.0107125322283272i</v>
      </c>
      <c r="AF145" s="24" t="str">
        <f t="shared" si="71"/>
        <v>1.64352582461347-3.29892270916578i</v>
      </c>
      <c r="AG145" s="24">
        <f t="shared" si="58"/>
        <v>3.6856570889355775</v>
      </c>
      <c r="AH145" s="24">
        <f t="shared" si="64"/>
        <v>-1.1085891397067564</v>
      </c>
      <c r="AI145" s="24">
        <f t="shared" si="53"/>
        <v>-63.517478919235934</v>
      </c>
      <c r="AJ145" s="24">
        <f t="shared" si="65"/>
        <v>11.330298525904398</v>
      </c>
      <c r="AL145" s="24" t="str">
        <f t="shared" si="66"/>
        <v>0.0000638077721897362-0.00798772187534997i</v>
      </c>
      <c r="AM145" s="24" t="str">
        <f t="shared" si="67"/>
        <v>1.0122856330275+0.930112168742922i</v>
      </c>
      <c r="AN145" s="24" t="str">
        <f t="shared" si="68"/>
        <v>-2.51928277285513+2.69827280452474i</v>
      </c>
      <c r="AO145" s="24">
        <f t="shared" si="59"/>
        <v>3.6915392206019479</v>
      </c>
      <c r="AP145" s="24">
        <f t="shared" si="60"/>
        <v>2.3219025955764772</v>
      </c>
      <c r="AQ145" s="24">
        <f t="shared" si="61"/>
        <v>133.03521916700339</v>
      </c>
      <c r="AR145" s="24">
        <f t="shared" si="62"/>
        <v>11.344149738526131</v>
      </c>
      <c r="AS145" s="24">
        <f t="shared" si="69"/>
        <v>22.674448264430531</v>
      </c>
      <c r="AT145" s="24">
        <f t="shared" si="70"/>
        <v>69.517740247767449</v>
      </c>
    </row>
    <row r="146" spans="4:46">
      <c r="D146" s="13"/>
      <c r="R146" s="12"/>
      <c r="S146" s="12"/>
      <c r="T146" s="12"/>
      <c r="U146" s="12"/>
      <c r="V146" s="12"/>
      <c r="W146" s="12"/>
      <c r="X146" s="12"/>
      <c r="Y146" s="24">
        <v>144</v>
      </c>
      <c r="Z146" s="24">
        <f t="shared" si="54"/>
        <v>7023.3503025047467</v>
      </c>
      <c r="AA146" s="24" t="str">
        <f t="shared" si="63"/>
        <v>44129.0114278731i</v>
      </c>
      <c r="AB146" s="24">
        <f t="shared" si="55"/>
        <v>9.4210346008907155</v>
      </c>
      <c r="AD146" s="24" t="str">
        <f t="shared" si="56"/>
        <v>0.186008023714275-0.386036374358165i</v>
      </c>
      <c r="AE146" s="24" t="str">
        <f t="shared" si="57"/>
        <v>0.999919540154244-0.011392071176203i</v>
      </c>
      <c r="AF146" s="24" t="str">
        <f t="shared" si="71"/>
        <v>1.48630596079907-3.17668736120289i</v>
      </c>
      <c r="AG146" s="24">
        <f t="shared" si="58"/>
        <v>3.5071994525451542</v>
      </c>
      <c r="AH146" s="24">
        <f t="shared" si="64"/>
        <v>-1.1331739312611619</v>
      </c>
      <c r="AI146" s="24">
        <f t="shared" si="53"/>
        <v>-64.926083715512235</v>
      </c>
      <c r="AJ146" s="24">
        <f t="shared" si="65"/>
        <v>10.899209293544887</v>
      </c>
      <c r="AL146" s="24" t="str">
        <f t="shared" si="66"/>
        <v>0.0000564225308291802-0.00751128133724167i</v>
      </c>
      <c r="AM146" s="24" t="str">
        <f t="shared" si="67"/>
        <v>1.01389350586919+0.989093898978372i</v>
      </c>
      <c r="AN146" s="24" t="str">
        <f t="shared" si="68"/>
        <v>-2.51676148748805+2.54139039497293i</v>
      </c>
      <c r="AO146" s="24">
        <f t="shared" si="59"/>
        <v>3.5766958948956966</v>
      </c>
      <c r="AP146" s="24">
        <f t="shared" si="60"/>
        <v>2.3513253772394926</v>
      </c>
      <c r="AQ146" s="24">
        <f t="shared" si="61"/>
        <v>134.72102037782909</v>
      </c>
      <c r="AR146" s="24">
        <f t="shared" si="62"/>
        <v>11.069640325019257</v>
      </c>
      <c r="AS146" s="24">
        <f t="shared" si="69"/>
        <v>21.968849618564143</v>
      </c>
      <c r="AT146" s="24">
        <f t="shared" si="70"/>
        <v>69.794936662316857</v>
      </c>
    </row>
    <row r="147" spans="4:46">
      <c r="D147" s="13"/>
      <c r="R147" s="12"/>
      <c r="S147" s="12"/>
      <c r="T147" s="12"/>
      <c r="U147" s="12"/>
      <c r="V147" s="12"/>
      <c r="W147" s="12"/>
      <c r="X147" s="12"/>
      <c r="Y147" s="24">
        <v>145</v>
      </c>
      <c r="Z147" s="24">
        <f t="shared" si="54"/>
        <v>7468.8965402065769</v>
      </c>
      <c r="AA147" s="24" t="str">
        <f t="shared" si="63"/>
        <v>46928.4610022704i</v>
      </c>
      <c r="AB147" s="24">
        <f t="shared" si="55"/>
        <v>9.4210346008907155</v>
      </c>
      <c r="AD147" s="24" t="str">
        <f t="shared" si="56"/>
        <v>0.168332345411553-0.370890578918039i</v>
      </c>
      <c r="AE147" s="24" t="str">
        <f t="shared" si="57"/>
        <v>0.999909007966348-0.0121147102930339i</v>
      </c>
      <c r="AF147" s="24" t="str">
        <f t="shared" si="71"/>
        <v>1.34085122500544-3.05204885366988i</v>
      </c>
      <c r="AG147" s="24">
        <f t="shared" si="58"/>
        <v>3.3335992879748186</v>
      </c>
      <c r="AH147" s="24">
        <f t="shared" si="64"/>
        <v>-1.1568524003770138</v>
      </c>
      <c r="AI147" s="24">
        <f t="shared" si="53"/>
        <v>-66.28276006118142</v>
      </c>
      <c r="AJ147" s="24">
        <f t="shared" si="65"/>
        <v>10.458267893761008</v>
      </c>
      <c r="AL147" s="24" t="str">
        <f t="shared" si="66"/>
        <v>0.0000498920296782849-0.00706325282456033i</v>
      </c>
      <c r="AM147" s="24" t="str">
        <f t="shared" si="67"/>
        <v>1.01571176088895+1.05181272791601i</v>
      </c>
      <c r="AN147" s="24" t="str">
        <f t="shared" si="68"/>
        <v>-2.51451794158183+2.39412084886752i</v>
      </c>
      <c r="AO147" s="24">
        <f t="shared" si="59"/>
        <v>3.471975679281043</v>
      </c>
      <c r="AP147" s="24">
        <f t="shared" si="60"/>
        <v>2.3807171659934236</v>
      </c>
      <c r="AQ147" s="24">
        <f t="shared" si="61"/>
        <v>136.40504582576941</v>
      </c>
      <c r="AR147" s="24">
        <f t="shared" si="62"/>
        <v>10.811533486822766</v>
      </c>
      <c r="AS147" s="24">
        <f t="shared" si="69"/>
        <v>21.269801380583772</v>
      </c>
      <c r="AT147" s="24">
        <f t="shared" si="70"/>
        <v>70.122285764587986</v>
      </c>
    </row>
    <row r="148" spans="4:46">
      <c r="D148" s="13"/>
      <c r="R148" s="12"/>
      <c r="S148" s="12"/>
      <c r="T148" s="12"/>
      <c r="U148" s="12"/>
      <c r="V148" s="12"/>
      <c r="W148" s="12"/>
      <c r="X148" s="12"/>
      <c r="Y148" s="24">
        <v>146</v>
      </c>
      <c r="Z148" s="24">
        <f t="shared" si="54"/>
        <v>7942.7072729684578</v>
      </c>
      <c r="AA148" s="24" t="str">
        <f t="shared" si="63"/>
        <v>49905.5016367439i</v>
      </c>
      <c r="AB148" s="24">
        <f t="shared" si="55"/>
        <v>9.4210346008907155</v>
      </c>
      <c r="AD148" s="24" t="str">
        <f t="shared" si="56"/>
        <v>0.152050572646769-0.355593512090154i</v>
      </c>
      <c r="AE148" s="24" t="str">
        <f t="shared" si="57"/>
        <v>0.999897097117422-0.0128831820745776i</v>
      </c>
      <c r="AF148" s="24" t="str">
        <f t="shared" si="71"/>
        <v>1.20686704712765-2.92616536431048i</v>
      </c>
      <c r="AG148" s="24">
        <f t="shared" si="58"/>
        <v>3.1652759451164596</v>
      </c>
      <c r="AH148" s="24">
        <f t="shared" si="64"/>
        <v>-1.1796121979457816</v>
      </c>
      <c r="AI148" s="24">
        <f t="shared" si="53"/>
        <v>-67.58680040444392</v>
      </c>
      <c r="AJ148" s="24">
        <f t="shared" si="65"/>
        <v>10.008231545945298</v>
      </c>
      <c r="AL148" s="24" t="str">
        <f t="shared" si="66"/>
        <v>0.0000441173536039422-0.00664194303371033i</v>
      </c>
      <c r="AM148" s="24" t="str">
        <f t="shared" si="67"/>
        <v>1.0177679124572+1.11850480236598i</v>
      </c>
      <c r="AN148" s="24" t="str">
        <f t="shared" si="68"/>
        <v>-2.51251815388521+2.25590753579668i</v>
      </c>
      <c r="AO148" s="24">
        <f t="shared" si="59"/>
        <v>3.3766649646754994</v>
      </c>
      <c r="AP148" s="24">
        <f t="shared" si="60"/>
        <v>2.4099571676796732</v>
      </c>
      <c r="AQ148" s="24">
        <f t="shared" si="61"/>
        <v>138.0803745153469</v>
      </c>
      <c r="AR148" s="24">
        <f t="shared" si="62"/>
        <v>10.569759434734028</v>
      </c>
      <c r="AS148" s="24">
        <f t="shared" si="69"/>
        <v>20.577990980679324</v>
      </c>
      <c r="AT148" s="24">
        <f t="shared" si="70"/>
        <v>70.493574110902983</v>
      </c>
    </row>
    <row r="149" spans="4:46">
      <c r="D149" s="13"/>
      <c r="R149" s="12"/>
      <c r="S149" s="12"/>
      <c r="T149" s="12"/>
      <c r="U149" s="12"/>
      <c r="V149" s="12"/>
      <c r="W149" s="12"/>
      <c r="X149" s="12"/>
      <c r="Y149" s="24">
        <v>147</v>
      </c>
      <c r="Z149" s="24">
        <f t="shared" si="54"/>
        <v>8446.5755395671058</v>
      </c>
      <c r="AA149" s="24" t="str">
        <f t="shared" si="63"/>
        <v>53071.3993261905i</v>
      </c>
      <c r="AB149" s="24">
        <f t="shared" si="55"/>
        <v>9.4210346008907155</v>
      </c>
      <c r="AD149" s="24" t="str">
        <f t="shared" si="56"/>
        <v>0.137112945854322-0.340271611006383i</v>
      </c>
      <c r="AE149" s="24" t="str">
        <f t="shared" si="57"/>
        <v>0.999883627141493-0.013700392018463i</v>
      </c>
      <c r="AF149" s="24" t="str">
        <f t="shared" si="71"/>
        <v>1.08394395021304-2.80007734506982i</v>
      </c>
      <c r="AG149" s="24">
        <f t="shared" si="58"/>
        <v>3.002560178510449</v>
      </c>
      <c r="AH149" s="24">
        <f t="shared" si="64"/>
        <v>-1.2014493005265277</v>
      </c>
      <c r="AI149" s="24">
        <f t="shared" si="53"/>
        <v>-68.837974219114912</v>
      </c>
      <c r="AJ149" s="24">
        <f t="shared" si="65"/>
        <v>9.5498344093130889</v>
      </c>
      <c r="AL149" s="24" t="str">
        <f t="shared" si="66"/>
        <v>0.0000390110324355301-0.00624575940738021i</v>
      </c>
      <c r="AM149" s="24" t="str">
        <f t="shared" si="67"/>
        <v>1.02009306969991+1.18942106216837i</v>
      </c>
      <c r="AN149" s="24" t="str">
        <f t="shared" si="68"/>
        <v>-2.51073183448546+2.12622796631838i</v>
      </c>
      <c r="AO149" s="24">
        <f t="shared" si="59"/>
        <v>3.290078982251508</v>
      </c>
      <c r="AP149" s="24">
        <f t="shared" si="60"/>
        <v>2.4389267591919124</v>
      </c>
      <c r="AQ149" s="24">
        <f t="shared" si="61"/>
        <v>139.74020984321623</v>
      </c>
      <c r="AR149" s="24">
        <f t="shared" si="62"/>
        <v>10.344126476593834</v>
      </c>
      <c r="AS149" s="24">
        <f t="shared" si="69"/>
        <v>19.893960885906921</v>
      </c>
      <c r="AT149" s="24">
        <f t="shared" si="70"/>
        <v>70.902235624101323</v>
      </c>
    </row>
    <row r="150" spans="4:46">
      <c r="D150" s="13"/>
      <c r="R150" s="12"/>
      <c r="S150" s="12"/>
      <c r="T150" s="12"/>
      <c r="U150" s="12"/>
      <c r="V150" s="12"/>
      <c r="W150" s="12"/>
      <c r="X150" s="12"/>
      <c r="Y150" s="24">
        <v>148</v>
      </c>
      <c r="Z150" s="24">
        <f t="shared" si="54"/>
        <v>8982.4081253027471</v>
      </c>
      <c r="AA150" s="24" t="str">
        <f t="shared" si="63"/>
        <v>56438.1347559928i</v>
      </c>
      <c r="AB150" s="24">
        <f t="shared" si="55"/>
        <v>9.4210346008907155</v>
      </c>
      <c r="AD150" s="24" t="str">
        <f t="shared" si="56"/>
        <v>0.123458952565507-0.325036332416551i</v>
      </c>
      <c r="AE150" s="24" t="str">
        <f t="shared" si="57"/>
        <v>0.999868393949818-0.0145694295297722i</v>
      </c>
      <c r="AF150" s="24" t="str">
        <f t="shared" si="71"/>
        <v>0.97158397058995-2.67470197240958i</v>
      </c>
      <c r="AG150" s="24">
        <f t="shared" si="58"/>
        <v>2.8456995718309814</v>
      </c>
      <c r="AH150" s="24">
        <f t="shared" si="64"/>
        <v>-1.2223671087587846</v>
      </c>
      <c r="AI150" s="24">
        <f t="shared" si="53"/>
        <v>-70.036476347487238</v>
      </c>
      <c r="AJ150" s="24">
        <f t="shared" si="65"/>
        <v>9.0837809706010635</v>
      </c>
      <c r="AL150" s="24" t="str">
        <f t="shared" si="66"/>
        <v>0.0000344957171694717-0.00587320416935838i</v>
      </c>
      <c r="AM150" s="24" t="str">
        <f t="shared" si="67"/>
        <v>1.0227224051358+1.2648281406739i</v>
      </c>
      <c r="AN150" s="24" t="str">
        <f t="shared" si="68"/>
        <v>-2.5091319264702+2.00459183349089i</v>
      </c>
      <c r="AO150" s="24">
        <f t="shared" si="59"/>
        <v>3.2115621500027718</v>
      </c>
      <c r="AP150" s="24">
        <f t="shared" si="60"/>
        <v>2.4675115304026338</v>
      </c>
      <c r="AQ150" s="24">
        <f t="shared" si="61"/>
        <v>141.37799659193763</v>
      </c>
      <c r="AR150" s="24">
        <f t="shared" si="62"/>
        <v>10.134326617564957</v>
      </c>
      <c r="AS150" s="24">
        <f t="shared" si="69"/>
        <v>19.218107588166021</v>
      </c>
      <c r="AT150" s="24">
        <f t="shared" si="70"/>
        <v>71.341520244450393</v>
      </c>
    </row>
    <row r="151" spans="4:46">
      <c r="D151" s="13"/>
      <c r="R151" s="12"/>
      <c r="S151" s="12"/>
      <c r="T151" s="12"/>
      <c r="U151" s="12"/>
      <c r="V151" s="12"/>
      <c r="W151" s="12"/>
      <c r="X151" s="12"/>
      <c r="Y151" s="24">
        <v>149</v>
      </c>
      <c r="Z151" s="24">
        <f t="shared" si="54"/>
        <v>9552.2327778341514</v>
      </c>
      <c r="AA151" s="24" t="str">
        <f t="shared" si="63"/>
        <v>60018.4486404468i</v>
      </c>
      <c r="AB151" s="24">
        <f t="shared" si="55"/>
        <v>9.4210346008907155</v>
      </c>
      <c r="AD151" s="24" t="str">
        <f t="shared" si="56"/>
        <v>0.111020299667161-0.309984073592399i</v>
      </c>
      <c r="AE151" s="24" t="str">
        <f t="shared" si="57"/>
        <v>0.999851166738728-0.0154935795043971i</v>
      </c>
      <c r="AF151" s="24" t="str">
        <f t="shared" si="71"/>
        <v>0.869225116816161-2.55083249637712i</v>
      </c>
      <c r="AG151" s="24">
        <f t="shared" si="58"/>
        <v>2.6948652523414971</v>
      </c>
      <c r="AH151" s="24">
        <f t="shared" si="64"/>
        <v>-1.2423755234737486</v>
      </c>
      <c r="AI151" s="24">
        <f t="shared" si="53"/>
        <v>-71.182874065402132</v>
      </c>
      <c r="AJ151" s="24">
        <f t="shared" si="65"/>
        <v>8.6107410926624617</v>
      </c>
      <c r="AL151" s="24" t="str">
        <f t="shared" si="66"/>
        <v>0.0000305030091956912-0.00552286870766645i</v>
      </c>
      <c r="AM151" s="24" t="str">
        <f t="shared" si="67"/>
        <v>1.02569568412435+1.34500931467979i</v>
      </c>
      <c r="AN151" s="24" t="str">
        <f t="shared" si="68"/>
        <v>-2.50769419649161+1.89053917238149i</v>
      </c>
      <c r="AO151" s="24">
        <f t="shared" si="59"/>
        <v>3.1404885838714001</v>
      </c>
      <c r="AP151" s="24">
        <f t="shared" si="60"/>
        <v>2.495603133243125</v>
      </c>
      <c r="AQ151" s="24">
        <f t="shared" si="61"/>
        <v>142.98752687445548</v>
      </c>
      <c r="AR151" s="24">
        <f t="shared" si="62"/>
        <v>9.9399443803986074</v>
      </c>
      <c r="AS151" s="24">
        <f t="shared" si="69"/>
        <v>18.550685473061069</v>
      </c>
      <c r="AT151" s="24">
        <f t="shared" si="70"/>
        <v>71.804652809053351</v>
      </c>
    </row>
    <row r="152" spans="4:46">
      <c r="D152" s="13"/>
      <c r="R152" s="12"/>
      <c r="S152" s="12"/>
      <c r="T152" s="12"/>
      <c r="U152" s="12"/>
      <c r="V152" s="12"/>
      <c r="W152" s="12"/>
      <c r="X152" s="12"/>
      <c r="Y152" s="24">
        <v>150</v>
      </c>
      <c r="Z152" s="24">
        <f t="shared" si="54"/>
        <v>10158.205880770249</v>
      </c>
      <c r="AA152" s="24" t="str">
        <f t="shared" si="63"/>
        <v>63825.8899373609i</v>
      </c>
      <c r="AB152" s="24">
        <f t="shared" si="55"/>
        <v>9.4210346008907155</v>
      </c>
      <c r="AD152" s="24" t="str">
        <f t="shared" si="56"/>
        <v>0.0997235697974221-0.295196567921636i</v>
      </c>
      <c r="AE152" s="24" t="str">
        <f t="shared" si="57"/>
        <v>0.999831684492729-0.0164763346303197i</v>
      </c>
      <c r="AF152" s="24" t="str">
        <f t="shared" si="71"/>
        <v>0.77626322936187-2.42914149593691i</v>
      </c>
      <c r="AG152" s="24">
        <f t="shared" si="58"/>
        <v>2.5501594084570343</v>
      </c>
      <c r="AH152" s="24">
        <f t="shared" si="64"/>
        <v>-1.2614900325395331</v>
      </c>
      <c r="AI152" s="24">
        <f t="shared" si="53"/>
        <v>-72.278054762336126</v>
      </c>
      <c r="AJ152" s="24">
        <f t="shared" si="65"/>
        <v>8.1313465737728325</v>
      </c>
      <c r="AL152" s="24" t="str">
        <f t="shared" si="66"/>
        <v>0.0000269724248787108-0.0051934282864989i</v>
      </c>
      <c r="AM152" s="24" t="str">
        <f t="shared" si="67"/>
        <v>1.02905786293627+1.4302655054116i</v>
      </c>
      <c r="AN152" s="24" t="str">
        <f t="shared" si="68"/>
        <v>-2.50639686805983+1.78363863109942i</v>
      </c>
      <c r="AO152" s="24">
        <f t="shared" si="59"/>
        <v>3.0762626719073154</v>
      </c>
      <c r="AP152" s="24">
        <f t="shared" si="60"/>
        <v>2.5231008642123154</v>
      </c>
      <c r="AQ152" s="24">
        <f t="shared" si="61"/>
        <v>144.56303080517628</v>
      </c>
      <c r="AR152" s="24">
        <f t="shared" si="62"/>
        <v>9.7604683136765029</v>
      </c>
      <c r="AS152" s="24">
        <f t="shared" si="69"/>
        <v>17.891814887449335</v>
      </c>
      <c r="AT152" s="24">
        <f t="shared" si="70"/>
        <v>72.284976042840157</v>
      </c>
    </row>
    <row r="153" spans="4:46">
      <c r="D153" s="13"/>
      <c r="R153" s="12"/>
      <c r="S153" s="12"/>
      <c r="T153" s="12"/>
      <c r="U153" s="12"/>
      <c r="V153" s="12"/>
      <c r="W153" s="12"/>
      <c r="X153" s="12"/>
      <c r="Y153" s="24">
        <v>151</v>
      </c>
      <c r="Z153" s="24">
        <f t="shared" si="54"/>
        <v>10802.620614058389</v>
      </c>
      <c r="AA153" s="24" t="str">
        <f t="shared" si="63"/>
        <v>67874.867121287i</v>
      </c>
      <c r="AB153" s="24">
        <f t="shared" si="55"/>
        <v>9.4210346008907155</v>
      </c>
      <c r="AD153" s="24" t="str">
        <f t="shared" si="56"/>
        <v>0.0894925201784861-0.28074163714396i</v>
      </c>
      <c r="AE153" s="24" t="str">
        <f t="shared" si="57"/>
        <v>0.99980965202988-0.0175214084489296i</v>
      </c>
      <c r="AF153" s="24" t="str">
        <f t="shared" si="71"/>
        <v>0.692070897873167-2.31018706913557i</v>
      </c>
      <c r="AG153" s="24">
        <f t="shared" si="58"/>
        <v>2.4116231923922458</v>
      </c>
      <c r="AH153" s="24">
        <f t="shared" si="64"/>
        <v>-1.2797308340702866</v>
      </c>
      <c r="AI153" s="24">
        <f t="shared" si="53"/>
        <v>-73.323175704984081</v>
      </c>
      <c r="AJ153" s="24">
        <f t="shared" si="65"/>
        <v>7.6461890357915099</v>
      </c>
      <c r="AL153" s="24" t="str">
        <f t="shared" si="66"/>
        <v>0.0000238504798613294-0.00488363706840914i</v>
      </c>
      <c r="AM153" s="24" t="str">
        <f t="shared" si="67"/>
        <v>1.03285976423919+1.52091633193286i</v>
      </c>
      <c r="AN153" s="24" t="str">
        <f t="shared" si="68"/>
        <v>-2.50522029203845+1.68348584720912i</v>
      </c>
      <c r="AO153" s="24">
        <f t="shared" si="59"/>
        <v>3.0183196168389168</v>
      </c>
      <c r="AP153" s="24">
        <f t="shared" si="60"/>
        <v>2.5499129271648879</v>
      </c>
      <c r="AQ153" s="24">
        <f t="shared" si="61"/>
        <v>146.09924885239775</v>
      </c>
      <c r="AR153" s="24">
        <f t="shared" si="62"/>
        <v>9.5953045264180901</v>
      </c>
      <c r="AS153" s="24">
        <f t="shared" si="69"/>
        <v>17.241493562209598</v>
      </c>
      <c r="AT153" s="24">
        <f t="shared" si="70"/>
        <v>72.776073147413669</v>
      </c>
    </row>
    <row r="154" spans="4:46">
      <c r="D154" s="13"/>
      <c r="R154" s="12"/>
      <c r="S154" s="12"/>
      <c r="T154" s="12"/>
      <c r="U154" s="12"/>
      <c r="V154" s="12"/>
      <c r="W154" s="12"/>
      <c r="X154" s="12"/>
      <c r="Y154" s="24">
        <v>152</v>
      </c>
      <c r="Z154" s="24">
        <f t="shared" si="54"/>
        <v>11487.915632049675</v>
      </c>
      <c r="AA154" s="24" t="str">
        <f t="shared" si="63"/>
        <v>72180.7027094132i</v>
      </c>
      <c r="AB154" s="24">
        <f t="shared" si="55"/>
        <v>9.4210346008907155</v>
      </c>
      <c r="AD154" s="24" t="str">
        <f t="shared" si="56"/>
        <v>0.0802500113288079-0.266674192094687i</v>
      </c>
      <c r="AE154" s="24" t="str">
        <f t="shared" si="57"/>
        <v>0.999784735529549-0.0186327492204664i</v>
      </c>
      <c r="AF154" s="24" t="str">
        <f t="shared" si="71"/>
        <v>0.616013332678374-2.19442106825356i</v>
      </c>
      <c r="AG154" s="24">
        <f t="shared" si="58"/>
        <v>2.2792446667333919</v>
      </c>
      <c r="AH154" s="24">
        <f t="shared" si="64"/>
        <v>-1.2971220146250555</v>
      </c>
      <c r="AI154" s="24">
        <f t="shared" si="53"/>
        <v>-74.319616951522335</v>
      </c>
      <c r="AJ154" s="24">
        <f t="shared" si="65"/>
        <v>7.1558189451071508</v>
      </c>
      <c r="AL154" s="24" t="str">
        <f t="shared" si="66"/>
        <v>0.0000210898792605688-0.00459232342911097i</v>
      </c>
      <c r="AM154" s="24" t="str">
        <f t="shared" si="67"/>
        <v>1.03715883988981+1.61730121807914i</v>
      </c>
      <c r="AN154" s="24" t="str">
        <f t="shared" si="68"/>
        <v>-2.50414664937586+1.58970192367976i</v>
      </c>
      <c r="AO154" s="24">
        <f t="shared" si="59"/>
        <v>2.9661258651195967</v>
      </c>
      <c r="AP154" s="24">
        <f t="shared" si="60"/>
        <v>2.5759573463451897</v>
      </c>
      <c r="AQ154" s="24">
        <f t="shared" si="61"/>
        <v>147.59148415129863</v>
      </c>
      <c r="AR154" s="24">
        <f t="shared" si="62"/>
        <v>9.4437915202741589</v>
      </c>
      <c r="AS154" s="24">
        <f t="shared" si="69"/>
        <v>16.599610465381311</v>
      </c>
      <c r="AT154" s="24">
        <f t="shared" si="70"/>
        <v>73.271867199776295</v>
      </c>
    </row>
    <row r="155" spans="4:46">
      <c r="D155" s="13"/>
      <c r="R155" s="12"/>
      <c r="S155" s="12"/>
      <c r="T155" s="12"/>
      <c r="U155" s="12"/>
      <c r="V155" s="12"/>
      <c r="W155" s="12"/>
      <c r="X155" s="12"/>
      <c r="Y155" s="24">
        <v>153</v>
      </c>
      <c r="Z155" s="24">
        <f t="shared" si="54"/>
        <v>12216.684292082227</v>
      </c>
      <c r="AA155" s="24" t="str">
        <f t="shared" si="63"/>
        <v>76759.6912464627i</v>
      </c>
      <c r="AB155" s="24">
        <f t="shared" si="55"/>
        <v>9.4210346008907155</v>
      </c>
      <c r="AD155" s="24" t="str">
        <f t="shared" si="56"/>
        <v>0.071919575121427-0.25303738811838i</v>
      </c>
      <c r="AE155" s="24" t="str">
        <f t="shared" si="57"/>
        <v>0.999756557474785-0.0198145546396365i</v>
      </c>
      <c r="AF155" s="24" t="str">
        <f t="shared" si="71"/>
        <v>0.547461268438934-2.0821986077455i</v>
      </c>
      <c r="AG155" s="24">
        <f t="shared" si="58"/>
        <v>2.1529665307519448</v>
      </c>
      <c r="AH155" s="24">
        <f t="shared" si="64"/>
        <v>-1.3136907947787435</v>
      </c>
      <c r="AI155" s="24">
        <f t="shared" si="53"/>
        <v>-75.268938126008763</v>
      </c>
      <c r="AJ155" s="24">
        <f t="shared" si="65"/>
        <v>6.6607455697839546</v>
      </c>
      <c r="AL155" s="24" t="str">
        <f t="shared" si="66"/>
        <v>0.0000186488015204339-0.0043183855481691i</v>
      </c>
      <c r="AM155" s="24" t="str">
        <f t="shared" si="67"/>
        <v>1.04202003215089+1.71978055363697i</v>
      </c>
      <c r="AN155" s="24" t="str">
        <f t="shared" si="68"/>
        <v>-2.5031596815959+1.50193199881545i</v>
      </c>
      <c r="AO155" s="24">
        <f t="shared" si="59"/>
        <v>2.9191793573936256</v>
      </c>
      <c r="AP155" s="24">
        <f t="shared" si="60"/>
        <v>2.6011625227469346</v>
      </c>
      <c r="AQ155" s="24">
        <f t="shared" si="61"/>
        <v>149.03563438100136</v>
      </c>
      <c r="AR155" s="24">
        <f t="shared" si="62"/>
        <v>9.3052155861826886</v>
      </c>
      <c r="AS155" s="24">
        <f t="shared" si="69"/>
        <v>15.965961155966642</v>
      </c>
      <c r="AT155" s="24">
        <f t="shared" si="70"/>
        <v>73.766696254992596</v>
      </c>
    </row>
    <row r="156" spans="4:46">
      <c r="D156" s="13"/>
      <c r="R156" s="12"/>
      <c r="S156" s="12"/>
      <c r="T156" s="12"/>
      <c r="U156" s="12"/>
      <c r="V156" s="12"/>
      <c r="W156" s="12"/>
      <c r="X156" s="12"/>
      <c r="Y156" s="24">
        <v>154</v>
      </c>
      <c r="Z156" s="24">
        <f t="shared" si="54"/>
        <v>12991.684468506162</v>
      </c>
      <c r="AA156" s="24" t="str">
        <f t="shared" si="63"/>
        <v>81629.1609680312i</v>
      </c>
      <c r="AB156" s="24">
        <f t="shared" si="55"/>
        <v>9.4210346008907155</v>
      </c>
      <c r="AD156" s="24" t="str">
        <f t="shared" si="56"/>
        <v>0.0644266469602572-0.239863857553213i</v>
      </c>
      <c r="AE156" s="24" t="str">
        <f t="shared" si="57"/>
        <v>0.999724690932702-0.0210712874493624i</v>
      </c>
      <c r="AF156" s="24" t="str">
        <f t="shared" si="71"/>
        <v>0.485801103793895-1.97378820639757i</v>
      </c>
      <c r="AG156" s="24">
        <f t="shared" si="58"/>
        <v>2.0326934338855684</v>
      </c>
      <c r="AH156" s="24">
        <f t="shared" si="64"/>
        <v>-1.3294668491572559</v>
      </c>
      <c r="AI156" s="24">
        <f t="shared" si="53"/>
        <v>-76.172839459266413</v>
      </c>
      <c r="AJ156" s="24">
        <f t="shared" si="65"/>
        <v>6.161437685783274</v>
      </c>
      <c r="AL156" s="24" t="str">
        <f t="shared" si="66"/>
        <v>0.0000164902650976056-0.00406078725972718i</v>
      </c>
      <c r="AM156" s="24" t="str">
        <f t="shared" si="67"/>
        <v>1.04751674582121+1.82873690999794i</v>
      </c>
      <c r="AN156" s="24" t="str">
        <f t="shared" si="68"/>
        <v>-2.50224444499266+1.41984390488518i</v>
      </c>
      <c r="AO156" s="24">
        <f t="shared" si="59"/>
        <v>2.8770095545090255</v>
      </c>
      <c r="AP156" s="24">
        <f t="shared" si="60"/>
        <v>2.6254674477548083</v>
      </c>
      <c r="AQ156" s="24">
        <f t="shared" si="61"/>
        <v>150.42820400533446</v>
      </c>
      <c r="AR156" s="24">
        <f t="shared" si="62"/>
        <v>9.1788260835740338</v>
      </c>
      <c r="AS156" s="24">
        <f t="shared" si="69"/>
        <v>15.340263769357307</v>
      </c>
      <c r="AT156" s="24">
        <f t="shared" si="70"/>
        <v>74.255364546068051</v>
      </c>
    </row>
    <row r="157" spans="4:46">
      <c r="D157" s="13"/>
      <c r="R157" s="12"/>
      <c r="S157" s="12"/>
      <c r="T157" s="12"/>
      <c r="U157" s="12"/>
      <c r="V157" s="12"/>
      <c r="W157" s="12"/>
      <c r="X157" s="12"/>
      <c r="Y157" s="24">
        <v>155</v>
      </c>
      <c r="Z157" s="24">
        <f t="shared" si="54"/>
        <v>13815.848989288772</v>
      </c>
      <c r="AA157" s="24" t="str">
        <f t="shared" si="63"/>
        <v>86807.5393757111i</v>
      </c>
      <c r="AB157" s="24">
        <f t="shared" si="55"/>
        <v>9.4210346008907155</v>
      </c>
      <c r="AD157" s="24" t="str">
        <f t="shared" si="56"/>
        <v>0.0576994963239556-0.227176958042928i</v>
      </c>
      <c r="AE157" s="24" t="str">
        <f t="shared" si="57"/>
        <v>0.99968865308624-0.0224076920024528i</v>
      </c>
      <c r="AF157" s="24" t="str">
        <f t="shared" si="71"/>
        <v>0.430442558840445-1.86938205972677i</v>
      </c>
      <c r="AG157" s="24">
        <f t="shared" si="58"/>
        <v>1.9182987467257056</v>
      </c>
      <c r="AH157" s="24">
        <f t="shared" si="64"/>
        <v>-1.3444817037519288</v>
      </c>
      <c r="AI157" s="24">
        <f t="shared" si="53"/>
        <v>-77.033127257543782</v>
      </c>
      <c r="AJ157" s="24">
        <f t="shared" si="65"/>
        <v>5.6583248611879426</v>
      </c>
      <c r="AL157" s="24" t="str">
        <f t="shared" si="66"/>
        <v>0.0000145815684053735-0.00381855414826558i</v>
      </c>
      <c r="AM157" s="24" t="str">
        <f t="shared" si="67"/>
        <v>1.05373194529126+1.94457630989287i</v>
      </c>
      <c r="AN157" s="24" t="str">
        <f t="shared" si="68"/>
        <v>-2.50138708483798+1.34312691043067i</v>
      </c>
      <c r="AO157" s="24">
        <f t="shared" si="59"/>
        <v>2.839177212806077</v>
      </c>
      <c r="AP157" s="24">
        <f t="shared" si="60"/>
        <v>2.6488216050170053</v>
      </c>
      <c r="AQ157" s="24">
        <f t="shared" si="61"/>
        <v>151.76629865054315</v>
      </c>
      <c r="AR157" s="24">
        <f t="shared" si="62"/>
        <v>9.0638500142499208</v>
      </c>
      <c r="AS157" s="24">
        <f t="shared" si="69"/>
        <v>14.722174875437863</v>
      </c>
      <c r="AT157" s="24">
        <f t="shared" si="70"/>
        <v>74.733171392999367</v>
      </c>
    </row>
    <row r="158" spans="4:46">
      <c r="D158" s="13"/>
      <c r="R158" s="12"/>
      <c r="S158" s="12"/>
      <c r="T158" s="12"/>
      <c r="U158" s="12"/>
      <c r="V158" s="12"/>
      <c r="W158" s="12"/>
      <c r="X158" s="12"/>
      <c r="Y158" s="24">
        <v>156</v>
      </c>
      <c r="Z158" s="24">
        <f t="shared" si="54"/>
        <v>14692.296734695852</v>
      </c>
      <c r="AA158" s="24" t="str">
        <f t="shared" si="63"/>
        <v>92314.4229721636i</v>
      </c>
      <c r="AB158" s="24">
        <f t="shared" si="55"/>
        <v>9.4210346008907155</v>
      </c>
      <c r="AD158" s="24" t="str">
        <f t="shared" si="56"/>
        <v>0.0516698946922395-0.21499199067848i</v>
      </c>
      <c r="AE158" s="24" t="str">
        <f t="shared" si="57"/>
        <v>0.999647897919304-0.023828811822675i</v>
      </c>
      <c r="AF158" s="24" t="str">
        <f t="shared" si="71"/>
        <v>0.380824171506498-1.76910606410068i</v>
      </c>
      <c r="AG158" s="24">
        <f t="shared" si="58"/>
        <v>1.8096307125050155</v>
      </c>
      <c r="AH158" s="24">
        <f t="shared" si="64"/>
        <v>-1.3587682100312448</v>
      </c>
      <c r="AI158" s="24">
        <f t="shared" si="53"/>
        <v>-77.851683771335743</v>
      </c>
      <c r="AJ158" s="24">
        <f t="shared" si="65"/>
        <v>5.1517991671698926</v>
      </c>
      <c r="AL158" s="24" t="str">
        <f t="shared" si="66"/>
        <v>0.0000128937945465171-0.00359076987519102i</v>
      </c>
      <c r="AM158" s="24" t="str">
        <f t="shared" si="67"/>
        <v>1.06075939223194+2.06772955001841i</v>
      </c>
      <c r="AN158" s="24" t="str">
        <f t="shared" si="68"/>
        <v>-2.50057462621827+1.27149054147267i</v>
      </c>
      <c r="AO158" s="24">
        <f t="shared" si="59"/>
        <v>2.8052739007699592</v>
      </c>
      <c r="AP158" s="24">
        <f t="shared" si="60"/>
        <v>2.6711846036779296</v>
      </c>
      <c r="AQ158" s="24">
        <f t="shared" si="61"/>
        <v>153.04760409107084</v>
      </c>
      <c r="AR158" s="24">
        <f t="shared" si="62"/>
        <v>8.9595054243969727</v>
      </c>
      <c r="AS158" s="24">
        <f t="shared" si="69"/>
        <v>14.111304591566865</v>
      </c>
      <c r="AT158" s="24">
        <f t="shared" si="70"/>
        <v>75.195920319735094</v>
      </c>
    </row>
    <row r="159" spans="4:46">
      <c r="D159" s="13"/>
      <c r="R159" s="12"/>
      <c r="S159" s="12"/>
      <c r="T159" s="12"/>
      <c r="U159" s="12"/>
      <c r="V159" s="12"/>
      <c r="W159" s="12"/>
      <c r="X159" s="12"/>
      <c r="Y159" s="24">
        <v>157</v>
      </c>
      <c r="Z159" s="24">
        <f t="shared" si="54"/>
        <v>15624.344440049217</v>
      </c>
      <c r="AA159" s="24" t="str">
        <f t="shared" si="63"/>
        <v>98170.6514200303i</v>
      </c>
      <c r="AB159" s="24">
        <f t="shared" si="55"/>
        <v>9.4210346008907155</v>
      </c>
      <c r="AD159" s="24" t="str">
        <f t="shared" si="56"/>
        <v>0.0462735610660178-0.203317355385706i</v>
      </c>
      <c r="AE159" s="24" t="str">
        <f t="shared" si="57"/>
        <v>0.999601807944527-0.0253400082182196i</v>
      </c>
      <c r="AF159" s="24" t="str">
        <f t="shared" si="71"/>
        <v>0.336416963717381-1.6730293244434i</v>
      </c>
      <c r="AG159" s="24">
        <f t="shared" si="58"/>
        <v>1.7065179442139955</v>
      </c>
      <c r="AH159" s="24">
        <f t="shared" si="64"/>
        <v>-1.3723600929575153</v>
      </c>
      <c r="AI159" s="24">
        <f t="shared" si="53"/>
        <v>-78.630441298646957</v>
      </c>
      <c r="AJ159" s="24">
        <f t="shared" si="65"/>
        <v>4.6422171858079224</v>
      </c>
      <c r="AL159" s="24" t="str">
        <f t="shared" si="66"/>
        <v>0.0000114013733439214-0.00337657272283706i</v>
      </c>
      <c r="AM159" s="24" t="str">
        <f t="shared" si="67"/>
        <v>1.06870504150076+2.19865357437487i</v>
      </c>
      <c r="AN159" s="24" t="str">
        <f t="shared" si="68"/>
        <v>-2.49979477837715+1.20466347706012i</v>
      </c>
      <c r="AO159" s="24">
        <f t="shared" si="59"/>
        <v>2.7749212650027104</v>
      </c>
      <c r="AP159" s="24">
        <f t="shared" si="60"/>
        <v>2.6925255932463483</v>
      </c>
      <c r="AQ159" s="24">
        <f t="shared" si="61"/>
        <v>154.27035272397396</v>
      </c>
      <c r="AR159" s="24">
        <f t="shared" si="62"/>
        <v>8.865013301174189</v>
      </c>
      <c r="AS159" s="24">
        <f t="shared" si="69"/>
        <v>13.507230486982111</v>
      </c>
      <c r="AT159" s="24">
        <f t="shared" si="70"/>
        <v>75.639911425327</v>
      </c>
    </row>
    <row r="160" spans="4:46">
      <c r="D160" s="13"/>
      <c r="R160" s="12"/>
      <c r="S160" s="12"/>
      <c r="T160" s="12"/>
      <c r="U160" s="12"/>
      <c r="V160" s="12"/>
      <c r="W160" s="12"/>
      <c r="X160" s="12"/>
      <c r="Y160" s="24">
        <v>158</v>
      </c>
      <c r="Z160" s="24">
        <f t="shared" si="54"/>
        <v>16615.519247226184</v>
      </c>
      <c r="AA160" s="24" t="str">
        <f t="shared" si="63"/>
        <v>104398.386405331i</v>
      </c>
      <c r="AB160" s="24">
        <f t="shared" si="55"/>
        <v>9.4210346008907155</v>
      </c>
      <c r="AD160" s="24" t="str">
        <f t="shared" si="56"/>
        <v>0.0414504239693464-0.19215562223395i</v>
      </c>
      <c r="AE160" s="24" t="str">
        <f t="shared" si="57"/>
        <v>0.999549684848318-0.0269469800017872i</v>
      </c>
      <c r="AF160" s="24" t="str">
        <f t="shared" si="71"/>
        <v>0.296726597368547-1.58117297004126i</v>
      </c>
      <c r="AG160" s="24">
        <f t="shared" si="58"/>
        <v>1.6087742647043479</v>
      </c>
      <c r="AH160" s="24">
        <f t="shared" si="64"/>
        <v>-1.3852915683681386</v>
      </c>
      <c r="AI160" s="24">
        <f t="shared" si="53"/>
        <v>-79.371360262552869</v>
      </c>
      <c r="AJ160" s="24">
        <f t="shared" si="65"/>
        <v>4.1299022061460713</v>
      </c>
      <c r="AL160" s="24" t="str">
        <f t="shared" si="66"/>
        <v>0.0000100816940430571-0.00317515234319589i</v>
      </c>
      <c r="AM160" s="24" t="str">
        <f t="shared" si="67"/>
        <v>1.07768861492399+2.33783289489902i</v>
      </c>
      <c r="AN160" s="24" t="str">
        <f t="shared" si="68"/>
        <v>-2.49903574965593+1.14239251481005i</v>
      </c>
      <c r="AO160" s="24">
        <f t="shared" si="59"/>
        <v>2.7477700660630986</v>
      </c>
      <c r="AP160" s="24">
        <f t="shared" si="60"/>
        <v>2.7128225128508383</v>
      </c>
      <c r="AQ160" s="24">
        <f t="shared" si="61"/>
        <v>155.43328055442757</v>
      </c>
      <c r="AR160" s="24">
        <f t="shared" si="62"/>
        <v>8.7796077612146366</v>
      </c>
      <c r="AS160" s="24">
        <f t="shared" si="69"/>
        <v>12.909509967360709</v>
      </c>
      <c r="AT160" s="24">
        <f t="shared" si="70"/>
        <v>76.061920291874699</v>
      </c>
    </row>
    <row r="161" spans="4:46">
      <c r="D161" s="13"/>
      <c r="R161" s="12"/>
      <c r="S161" s="12"/>
      <c r="T161" s="12"/>
      <c r="U161" s="12"/>
      <c r="V161" s="12"/>
      <c r="W161" s="12"/>
      <c r="X161" s="12"/>
      <c r="Y161" s="24">
        <v>159</v>
      </c>
      <c r="Z161" s="24">
        <f t="shared" si="54"/>
        <v>17669.572052398642</v>
      </c>
      <c r="AA161" s="24" t="str">
        <f t="shared" si="63"/>
        <v>111021.195503782i</v>
      </c>
      <c r="AB161" s="24">
        <f t="shared" si="55"/>
        <v>9.4210346008907155</v>
      </c>
      <c r="AD161" s="24" t="str">
        <f t="shared" si="56"/>
        <v>0.0371447358672338-0.181504506401322i</v>
      </c>
      <c r="AE161" s="24" t="str">
        <f t="shared" si="57"/>
        <v>0.999490738911562-0.0286557843724089i</v>
      </c>
      <c r="AF161" s="24" t="str">
        <f t="shared" si="71"/>
        <v>0.261294315807552-1.49351817752342i</v>
      </c>
      <c r="AG161" s="24">
        <f t="shared" si="58"/>
        <v>1.5162029105849306</v>
      </c>
      <c r="AH161" s="24">
        <f t="shared" si="64"/>
        <v>-1.3975970241596645</v>
      </c>
      <c r="AI161" s="24">
        <f t="shared" si="53"/>
        <v>-80.076410944392123</v>
      </c>
      <c r="AJ161" s="24">
        <f t="shared" si="65"/>
        <v>3.615146519989664</v>
      </c>
      <c r="AL161" s="24" t="str">
        <f t="shared" si="66"/>
        <v>8.91476282603172E-06-0.00298574669940963i</v>
      </c>
      <c r="AM161" s="24" t="str">
        <f t="shared" si="67"/>
        <v>1.08784537489607+2.4857810544469i</v>
      </c>
      <c r="AN161" s="24" t="str">
        <f t="shared" si="68"/>
        <v>-2.49828607029785+1.08444160226836i</v>
      </c>
      <c r="AO161" s="24">
        <f t="shared" si="59"/>
        <v>2.7234990137274959</v>
      </c>
      <c r="AP161" s="24">
        <f t="shared" si="60"/>
        <v>2.7320612262111239</v>
      </c>
      <c r="AQ161" s="24">
        <f t="shared" si="61"/>
        <v>156.53557763323388</v>
      </c>
      <c r="AR161" s="24">
        <f t="shared" si="62"/>
        <v>8.7025444467247191</v>
      </c>
      <c r="AS161" s="24">
        <f t="shared" si="69"/>
        <v>12.317690966714384</v>
      </c>
      <c r="AT161" s="24">
        <f t="shared" si="70"/>
        <v>76.459166688841762</v>
      </c>
    </row>
    <row r="162" spans="4:46">
      <c r="D162" s="13"/>
      <c r="R162" s="12"/>
      <c r="S162" s="12"/>
      <c r="T162" s="12"/>
      <c r="U162" s="12"/>
      <c r="V162" s="12"/>
      <c r="W162" s="12"/>
      <c r="X162" s="12"/>
      <c r="Y162" s="24">
        <v>160</v>
      </c>
      <c r="Z162" s="24">
        <f t="shared" si="54"/>
        <v>18790.49170052441</v>
      </c>
      <c r="AA162" s="24" t="str">
        <f t="shared" si="63"/>
        <v>118064.141367415i</v>
      </c>
      <c r="AB162" s="24">
        <f t="shared" si="55"/>
        <v>9.4210346008907155</v>
      </c>
      <c r="AD162" s="24" t="str">
        <f t="shared" si="56"/>
        <v>0.0333050720554072-0.171357741534658i</v>
      </c>
      <c r="AE162" s="24" t="str">
        <f t="shared" si="57"/>
        <v>0.999424077045733-0.0304728590145402i</v>
      </c>
      <c r="AF162" s="24" t="str">
        <f t="shared" si="71"/>
        <v>0.22969693461674-1.4100133577154i</v>
      </c>
      <c r="AG162" s="24">
        <f t="shared" si="58"/>
        <v>1.4286001367451224</v>
      </c>
      <c r="AH162" s="24">
        <f t="shared" si="64"/>
        <v>-1.4093107591863883</v>
      </c>
      <c r="AI162" s="24">
        <f t="shared" si="53"/>
        <v>-80.747558523757959</v>
      </c>
      <c r="AJ162" s="24">
        <f t="shared" si="65"/>
        <v>3.0982137471809308</v>
      </c>
      <c r="AL162" s="24" t="str">
        <f t="shared" si="66"/>
        <v>7.88289995416485E-06-0.002807639188723i</v>
      </c>
      <c r="AM162" s="24" t="str">
        <f t="shared" si="67"/>
        <v>1.09932812223931+2.64304212530359i</v>
      </c>
      <c r="AN162" s="24" t="str">
        <f t="shared" si="68"/>
        <v>-2.49753442051978+1.0305909300794i</v>
      </c>
      <c r="AO162" s="24">
        <f t="shared" si="59"/>
        <v>2.7018134367204181</v>
      </c>
      <c r="AP162" s="24">
        <f t="shared" si="60"/>
        <v>2.7502345893125675</v>
      </c>
      <c r="AQ162" s="24">
        <f t="shared" si="61"/>
        <v>157.57683463850537</v>
      </c>
      <c r="AR162" s="24">
        <f t="shared" si="62"/>
        <v>8.6331071439040787</v>
      </c>
      <c r="AS162" s="24">
        <f t="shared" si="69"/>
        <v>11.731320891085009</v>
      </c>
      <c r="AT162" s="24">
        <f t="shared" si="70"/>
        <v>76.829276114747415</v>
      </c>
    </row>
    <row r="163" spans="4:46">
      <c r="D163" s="13"/>
      <c r="R163" s="12"/>
      <c r="S163" s="12"/>
      <c r="T163" s="12"/>
      <c r="U163" s="12"/>
      <c r="V163" s="12"/>
      <c r="W163" s="12"/>
      <c r="X163" s="12"/>
      <c r="Y163" s="24">
        <v>161</v>
      </c>
      <c r="Z163" s="24">
        <f t="shared" si="54"/>
        <v>19982.5200803064</v>
      </c>
      <c r="AA163" s="24" t="str">
        <f t="shared" si="63"/>
        <v>125553.876569002i</v>
      </c>
      <c r="AB163" s="24">
        <f t="shared" si="55"/>
        <v>9.4210346008907155</v>
      </c>
      <c r="AD163" s="24" t="str">
        <f t="shared" si="56"/>
        <v>0.0298842418060584-0.161705851428546i</v>
      </c>
      <c r="AE163" s="24" t="str">
        <f t="shared" si="57"/>
        <v>0.999348689263265-0.0324050454697751i</v>
      </c>
      <c r="AF163" s="24" t="str">
        <f t="shared" si="71"/>
        <v>0.201546110332538-1.33058050574233i</v>
      </c>
      <c r="AG163" s="24">
        <f t="shared" si="58"/>
        <v>1.3457582683571707</v>
      </c>
      <c r="AH163" s="24">
        <f t="shared" si="64"/>
        <v>-1.4204667736337793</v>
      </c>
      <c r="AI163" s="24">
        <f t="shared" si="53"/>
        <v>-81.386751067780438</v>
      </c>
      <c r="AJ163" s="24">
        <f t="shared" si="65"/>
        <v>2.5793411361429524</v>
      </c>
      <c r="AL163" s="24" t="str">
        <f t="shared" si="66"/>
        <v>6.97047195513786E-06-0.0026401559362391i</v>
      </c>
      <c r="AM163" s="24" t="str">
        <f t="shared" si="67"/>
        <v>1.11230944549476+2.81019223409782i</v>
      </c>
      <c r="AN163" s="24" t="str">
        <f t="shared" si="68"/>
        <v>-2.49676946135791+0.98063608308433i</v>
      </c>
      <c r="AO163" s="24">
        <f t="shared" si="59"/>
        <v>2.6824438243170059</v>
      </c>
      <c r="AP163" s="24">
        <f t="shared" si="60"/>
        <v>2.7673414915314076</v>
      </c>
      <c r="AQ163" s="24">
        <f t="shared" si="61"/>
        <v>158.55698793618791</v>
      </c>
      <c r="AR163" s="24">
        <f t="shared" si="62"/>
        <v>8.5706127149435716</v>
      </c>
      <c r="AS163" s="24">
        <f t="shared" si="69"/>
        <v>11.149953851086524</v>
      </c>
      <c r="AT163" s="24">
        <f t="shared" si="70"/>
        <v>77.170236868407471</v>
      </c>
    </row>
    <row r="164" spans="4:46">
      <c r="D164" s="13"/>
      <c r="R164" s="12"/>
      <c r="S164" s="12"/>
      <c r="T164" s="12"/>
      <c r="U164" s="12"/>
      <c r="V164" s="12"/>
      <c r="W164" s="12"/>
      <c r="X164" s="12"/>
      <c r="Y164" s="24">
        <v>162</v>
      </c>
      <c r="Z164" s="24">
        <f t="shared" si="54"/>
        <v>21250.168176743602</v>
      </c>
      <c r="AA164" s="24" t="str">
        <f t="shared" si="63"/>
        <v>133518.744463211i</v>
      </c>
      <c r="AB164" s="24">
        <f t="shared" si="55"/>
        <v>9.4210346008907155</v>
      </c>
      <c r="AD164" s="24" t="str">
        <f t="shared" si="56"/>
        <v>0.026839135260822-0.152536823603981i</v>
      </c>
      <c r="AE164" s="24" t="str">
        <f t="shared" si="57"/>
        <v>0.999263433377328-0.0344596138355774i</v>
      </c>
      <c r="AF164" s="24" t="str">
        <f t="shared" si="71"/>
        <v>0.176487080411589-1.25512074384537i</v>
      </c>
      <c r="AG164" s="24">
        <f t="shared" si="58"/>
        <v>1.2674682525346193</v>
      </c>
      <c r="AH164" s="24">
        <f t="shared" ref="AH164:AH195" si="72">IMARGUMENT(AF164)</f>
        <v>-1.4310986047473588</v>
      </c>
      <c r="AI164" s="24">
        <f t="shared" si="53"/>
        <v>-81.995910119084428</v>
      </c>
      <c r="AJ164" s="24">
        <f t="shared" ref="AJ164:AJ195" si="73">20*LOG(AG164,10)</f>
        <v>2.0587417992127151</v>
      </c>
      <c r="AL164" s="24" t="str">
        <f t="shared" ref="AL164:AL195" si="74">IMDIV(1,IMSUM(1,IMDIV(AA164,wp2e)))</f>
        <v>6.16365480070002E-06-0.00248266324942782i</v>
      </c>
      <c r="AM164" s="24" t="str">
        <f t="shared" ref="AM164:AM195" si="75">IMDIV(IMSUM(1,IMDIV(AA164,wz2e)),IMSUM(1,IMDIV(AA164,wp1e)))</f>
        <v>1.12698425177169+2.987841101198i</v>
      </c>
      <c r="AN164" s="24" t="str">
        <f t="shared" ref="AN164:AN195" si="76">IMPRODUCT($AK$2,AL164,AM164)</f>
        <v>-2.49597966586583+0.934387245571992i</v>
      </c>
      <c r="AO164" s="24">
        <f t="shared" si="59"/>
        <v>2.6651442769770113</v>
      </c>
      <c r="AP164" s="24">
        <f t="shared" si="60"/>
        <v>2.7833859037525972</v>
      </c>
      <c r="AQ164" s="24">
        <f t="shared" si="61"/>
        <v>159.47626504123019</v>
      </c>
      <c r="AR164" s="24">
        <f t="shared" si="62"/>
        <v>8.5144144886322639</v>
      </c>
      <c r="AS164" s="24">
        <f t="shared" ref="AS164:AS195" si="77">AR164+AJ164</f>
        <v>10.573156287844979</v>
      </c>
      <c r="AT164" s="24">
        <f t="shared" ref="AT164:AT195" si="78">AQ164+AI164</f>
        <v>77.480354922145764</v>
      </c>
    </row>
    <row r="165" spans="4:46">
      <c r="D165" s="13"/>
      <c r="R165" s="12"/>
      <c r="S165" s="12"/>
      <c r="T165" s="12"/>
      <c r="U165" s="12"/>
      <c r="V165" s="12"/>
      <c r="W165" s="12"/>
      <c r="X165" s="12"/>
      <c r="Y165" s="24">
        <v>163</v>
      </c>
      <c r="Z165" s="24">
        <f t="shared" si="54"/>
        <v>22598.233142021272</v>
      </c>
      <c r="AA165" s="24" t="str">
        <f t="shared" si="63"/>
        <v>141988.886446167i</v>
      </c>
      <c r="AB165" s="24">
        <f t="shared" si="55"/>
        <v>9.4210346008907155</v>
      </c>
      <c r="AD165" s="24" t="str">
        <f t="shared" si="56"/>
        <v>0.0241305254938808-0.143836690783821i</v>
      </c>
      <c r="AE165" s="24" t="str">
        <f t="shared" si="57"/>
        <v>0.999167017699374-0.0366442888434814i</v>
      </c>
      <c r="AF165" s="24" t="str">
        <f t="shared" si="71"/>
        <v>0.154197034274964-1.1835191062611i</v>
      </c>
      <c r="AG165" s="24">
        <f t="shared" si="58"/>
        <v>1.1935217636324302</v>
      </c>
      <c r="AH165" s="24">
        <f t="shared" si="72"/>
        <v>-1.4412392021044915</v>
      </c>
      <c r="AI165" s="24">
        <f t="shared" si="53"/>
        <v>-82.576923549389633</v>
      </c>
      <c r="AJ165" s="24">
        <f t="shared" si="73"/>
        <v>1.5366068537728363</v>
      </c>
      <c r="AL165" s="24" t="str">
        <f t="shared" si="74"/>
        <v>5.45022448965182E-06-0.00233456522391319i</v>
      </c>
      <c r="AM165" s="24" t="str">
        <f t="shared" si="75"/>
        <v>1.14357261246207+3.17663357926626i</v>
      </c>
      <c r="AN165" s="24" t="str">
        <f t="shared" si="76"/>
        <v>-2.4951531482873+0.891668456977301i</v>
      </c>
      <c r="AO165" s="24">
        <f t="shared" si="59"/>
        <v>2.6496909009498268</v>
      </c>
      <c r="AP165" s="24">
        <f t="shared" si="60"/>
        <v>2.7983759596173283</v>
      </c>
      <c r="AQ165" s="24">
        <f t="shared" si="61"/>
        <v>160.33513197694461</v>
      </c>
      <c r="AR165" s="24">
        <f t="shared" si="62"/>
        <v>8.463904287480192</v>
      </c>
      <c r="AS165" s="24">
        <f t="shared" si="77"/>
        <v>10.000511141253028</v>
      </c>
      <c r="AT165" s="24">
        <f t="shared" si="78"/>
        <v>77.758208427554976</v>
      </c>
    </row>
    <row r="166" spans="4:46">
      <c r="D166" s="13"/>
      <c r="R166" s="12"/>
      <c r="S166" s="12"/>
      <c r="T166" s="12"/>
      <c r="U166" s="12"/>
      <c r="V166" s="12"/>
      <c r="W166" s="12"/>
      <c r="X166" s="12"/>
      <c r="Y166" s="24">
        <v>164</v>
      </c>
      <c r="Z166" s="24">
        <f t="shared" si="54"/>
        <v>24031.816449341983</v>
      </c>
      <c r="AA166" s="24" t="str">
        <f t="shared" si="63"/>
        <v>150996.356019342i</v>
      </c>
      <c r="AB166" s="24">
        <f t="shared" si="55"/>
        <v>9.4210346008907155</v>
      </c>
      <c r="AD166" s="24" t="str">
        <f t="shared" si="56"/>
        <v>0.0217228414692864-0.135590027709453i</v>
      </c>
      <c r="AE166" s="24" t="str">
        <f t="shared" si="57"/>
        <v>0.999057981472541-0.03896727736606i</v>
      </c>
      <c r="AF166" s="24" t="str">
        <f t="shared" si="71"/>
        <v>0.134383244823681-1.11564862742307i</v>
      </c>
      <c r="AG166" s="24">
        <f t="shared" si="58"/>
        <v>1.1237129154549756</v>
      </c>
      <c r="AH166" s="24">
        <f t="shared" si="72"/>
        <v>-1.4509208370422126</v>
      </c>
      <c r="AI166" s="24">
        <f t="shared" si="53"/>
        <v>-83.131640370107462</v>
      </c>
      <c r="AJ166" s="24">
        <f t="shared" si="73"/>
        <v>1.0131074495928292</v>
      </c>
      <c r="AL166" s="24" t="str">
        <f t="shared" si="74"/>
        <v>4.81937186541239E-06-0.00219530149161048i</v>
      </c>
      <c r="AM166" s="24" t="str">
        <f t="shared" si="75"/>
        <v>1.16232296051537+3.37725117153636i</v>
      </c>
      <c r="AN166" s="24" t="str">
        <f t="shared" si="76"/>
        <v>-2.49427748884393+0.852316914358483i</v>
      </c>
      <c r="AO166" s="24">
        <f t="shared" si="59"/>
        <v>2.6358801782052135</v>
      </c>
      <c r="AP166" s="24">
        <f t="shared" si="60"/>
        <v>2.8123230890020996</v>
      </c>
      <c r="AQ166" s="24">
        <f t="shared" si="61"/>
        <v>161.13424362701488</v>
      </c>
      <c r="AR166" s="24">
        <f t="shared" si="62"/>
        <v>8.4185132843951376</v>
      </c>
      <c r="AS166" s="24">
        <f t="shared" si="77"/>
        <v>9.4316207339879661</v>
      </c>
      <c r="AT166" s="24">
        <f t="shared" si="78"/>
        <v>78.00260325690742</v>
      </c>
    </row>
    <row r="167" spans="4:46">
      <c r="D167" s="13"/>
      <c r="R167" s="12"/>
      <c r="S167" s="12"/>
      <c r="T167" s="12"/>
      <c r="U167" s="12"/>
      <c r="V167" s="12"/>
      <c r="W167" s="12"/>
      <c r="X167" s="12"/>
      <c r="Y167" s="24">
        <v>165</v>
      </c>
      <c r="Z167" s="24">
        <f t="shared" si="54"/>
        <v>25556.343198396022</v>
      </c>
      <c r="AA167" s="24" t="str">
        <f t="shared" si="63"/>
        <v>160575.240089401i</v>
      </c>
      <c r="AB167" s="24">
        <f t="shared" si="55"/>
        <v>9.4210346008907155</v>
      </c>
      <c r="AD167" s="24" t="str">
        <f t="shared" si="56"/>
        <v>0.0195839243589132-0.12778037145833i</v>
      </c>
      <c r="AE167" s="24" t="str">
        <f t="shared" si="57"/>
        <v>0.998934672744784-0.0414372973972303i</v>
      </c>
      <c r="AF167" s="24" t="str">
        <f t="shared" si="71"/>
        <v>0.116781063010998-1.05137380063015i</v>
      </c>
      <c r="AG167" s="24">
        <f t="shared" si="58"/>
        <v>1.0578396311962723</v>
      </c>
      <c r="AH167" s="24">
        <f t="shared" si="72"/>
        <v>-1.4601750413460959</v>
      </c>
      <c r="AI167" s="24">
        <f t="shared" si="53"/>
        <v>-83.661867219471773</v>
      </c>
      <c r="AJ167" s="24">
        <f t="shared" si="73"/>
        <v>0.48839667032480782</v>
      </c>
      <c r="AL167" s="24" t="str">
        <f t="shared" si="74"/>
        <v>4.26153886417564E-06-0.00206434510280189i</v>
      </c>
      <c r="AM167" s="24" t="str">
        <f t="shared" si="75"/>
        <v>1.18351567953762+3.59041350542554i</v>
      </c>
      <c r="AN167" s="24" t="str">
        <f t="shared" si="76"/>
        <v>-2.49333955177392+0.816182317981368i</v>
      </c>
      <c r="AO167" s="24">
        <f t="shared" si="59"/>
        <v>2.6235273386465048</v>
      </c>
      <c r="AP167" s="24">
        <f t="shared" si="60"/>
        <v>2.8252412165399194</v>
      </c>
      <c r="AQ167" s="24">
        <f t="shared" si="61"/>
        <v>161.87439781414369</v>
      </c>
      <c r="AR167" s="24">
        <f t="shared" si="62"/>
        <v>8.3777118830672386</v>
      </c>
      <c r="AS167" s="24">
        <f t="shared" si="77"/>
        <v>8.8661085533920456</v>
      </c>
      <c r="AT167" s="24">
        <f t="shared" si="78"/>
        <v>78.212530594671918</v>
      </c>
    </row>
    <row r="168" spans="4:46">
      <c r="D168" s="13"/>
      <c r="R168" s="12"/>
      <c r="S168" s="12"/>
      <c r="T168" s="12"/>
      <c r="U168" s="12"/>
      <c r="V168" s="12"/>
      <c r="W168" s="12"/>
      <c r="X168" s="12"/>
      <c r="Y168" s="24">
        <v>166</v>
      </c>
      <c r="Z168" s="24">
        <f t="shared" si="54"/>
        <v>27177.582645530147</v>
      </c>
      <c r="AA168" s="24" t="str">
        <f t="shared" si="63"/>
        <v>170761.787963054i</v>
      </c>
      <c r="AB168" s="24">
        <f t="shared" si="55"/>
        <v>9.4210346008907155</v>
      </c>
      <c r="AD168" s="24" t="str">
        <f t="shared" si="56"/>
        <v>0.0176847768909118-0.120390573604672i</v>
      </c>
      <c r="AE168" s="24" t="str">
        <f t="shared" si="57"/>
        <v>0.998795223346906-0.0440636085438544i</v>
      </c>
      <c r="AF168" s="24" t="str">
        <f t="shared" si="71"/>
        <v>0.101151855043649-0.990553475828695i</v>
      </c>
      <c r="AG168" s="24">
        <f t="shared" si="58"/>
        <v>0.99570471840555252</v>
      </c>
      <c r="AH168" s="24">
        <f t="shared" si="72"/>
        <v>-1.4690325708251517</v>
      </c>
      <c r="AI168" s="24">
        <f t="shared" si="53"/>
        <v>-84.169366275534387</v>
      </c>
      <c r="AJ168" s="24">
        <f t="shared" si="73"/>
        <v>-3.7388696991977541E-2</v>
      </c>
      <c r="AL168" s="24" t="str">
        <f t="shared" si="74"/>
        <v>3.76827371396816E-06-0.00194120053422653i</v>
      </c>
      <c r="AM168" s="24" t="str">
        <f t="shared" si="75"/>
        <v>1.20746712868228+3.81687973114126i</v>
      </c>
      <c r="AN168" s="24" t="str">
        <f t="shared" si="76"/>
        <v>-2.49232529423444+0.783126256290228i</v>
      </c>
      <c r="AO168" s="24">
        <f t="shared" si="59"/>
        <v>2.6124647568095414</v>
      </c>
      <c r="AP168" s="24">
        <f t="shared" si="60"/>
        <v>2.8371460326513964</v>
      </c>
      <c r="AQ168" s="24">
        <f t="shared" si="61"/>
        <v>162.55649353321067</v>
      </c>
      <c r="AR168" s="24">
        <f t="shared" si="62"/>
        <v>8.3410088070606232</v>
      </c>
      <c r="AS168" s="24">
        <f t="shared" si="77"/>
        <v>8.3036201100686462</v>
      </c>
      <c r="AT168" s="24">
        <f t="shared" si="78"/>
        <v>78.387127257676283</v>
      </c>
    </row>
    <row r="169" spans="4:46">
      <c r="D169" s="13"/>
      <c r="R169" s="12"/>
      <c r="S169" s="12"/>
      <c r="T169" s="12"/>
      <c r="U169" s="12"/>
      <c r="V169" s="12"/>
      <c r="W169" s="12"/>
      <c r="X169" s="12"/>
      <c r="Y169" s="24">
        <v>167</v>
      </c>
      <c r="Z169" s="24">
        <f t="shared" si="54"/>
        <v>28901.670036305419</v>
      </c>
      <c r="AA169" s="24" t="str">
        <f t="shared" si="63"/>
        <v>181594.548525067i</v>
      </c>
      <c r="AB169" s="24">
        <f t="shared" si="55"/>
        <v>9.4210346008907155</v>
      </c>
      <c r="AD169" s="24" t="str">
        <f t="shared" si="56"/>
        <v>0.0159993130493715-0.113403092377145i</v>
      </c>
      <c r="AE169" s="24" t="str">
        <f t="shared" si="57"/>
        <v>0.998637520596959-0.0468560440575748i</v>
      </c>
      <c r="AF169" s="24" t="str">
        <f t="shared" si="71"/>
        <v>0.0872809424525872-0.933043263604651i</v>
      </c>
      <c r="AG169" s="24">
        <f t="shared" si="58"/>
        <v>0.93711669213253801</v>
      </c>
      <c r="AH169" s="24">
        <f t="shared" si="72"/>
        <v>-1.4775233899179872</v>
      </c>
      <c r="AI169" s="24">
        <f t="shared" si="53"/>
        <v>-84.655854374162956</v>
      </c>
      <c r="AJ169" s="24">
        <f t="shared" si="73"/>
        <v>-0.56412652602695323</v>
      </c>
      <c r="AL169" s="24" t="str">
        <f t="shared" si="74"/>
        <v>0.0000033321028917546-0.00182540181572303i</v>
      </c>
      <c r="AM169" s="24" t="str">
        <f t="shared" si="75"/>
        <v>1.23453415106903+4.057449807821i</v>
      </c>
      <c r="AN169" s="24" t="str">
        <f t="shared" si="76"/>
        <v>-2.49121956364291+0.753021626446642i</v>
      </c>
      <c r="AO169" s="24">
        <f t="shared" si="59"/>
        <v>2.6025403904980067</v>
      </c>
      <c r="AP169" s="24">
        <f t="shared" si="60"/>
        <v>2.8480543402283205</v>
      </c>
      <c r="AQ169" s="24">
        <f t="shared" si="61"/>
        <v>163.18149351899899</v>
      </c>
      <c r="AR169" s="24">
        <f t="shared" si="62"/>
        <v>8.3079495666046892</v>
      </c>
      <c r="AS169" s="24">
        <f t="shared" si="77"/>
        <v>7.7438230405777357</v>
      </c>
      <c r="AT169" s="24">
        <f t="shared" si="78"/>
        <v>78.525639144836035</v>
      </c>
    </row>
    <row r="170" spans="4:46">
      <c r="D170" s="13"/>
      <c r="R170" s="12"/>
      <c r="S170" s="12"/>
      <c r="T170" s="12"/>
      <c r="U170" s="12"/>
      <c r="V170" s="12"/>
      <c r="W170" s="12"/>
      <c r="X170" s="12"/>
      <c r="Y170" s="24">
        <v>168</v>
      </c>
      <c r="Z170" s="24">
        <f t="shared" si="54"/>
        <v>30735.129823066054</v>
      </c>
      <c r="AA170" s="24" t="str">
        <f t="shared" si="63"/>
        <v>193114.516118546i</v>
      </c>
      <c r="AB170" s="24">
        <f t="shared" si="55"/>
        <v>9.4210346008907155</v>
      </c>
      <c r="AD170" s="24" t="str">
        <f t="shared" si="56"/>
        <v>0.0145041135099452-0.106800232534491i</v>
      </c>
      <c r="AE170" s="24" t="str">
        <f t="shared" si="57"/>
        <v>0.998459175303093-0.0498250444238725i</v>
      </c>
      <c r="AF170" s="24" t="str">
        <f t="shared" si="71"/>
        <v>0.0749755893424402-0.87869750891884i</v>
      </c>
      <c r="AG170" s="24">
        <f t="shared" si="58"/>
        <v>0.88189038501245776</v>
      </c>
      <c r="AH170" s="24">
        <f t="shared" si="72"/>
        <v>-1.4856766739773677</v>
      </c>
      <c r="AI170" s="24">
        <f t="shared" si="53"/>
        <v>-85.123003139936742</v>
      </c>
      <c r="AJ170" s="24">
        <f t="shared" si="73"/>
        <v>-1.0917078470836845</v>
      </c>
      <c r="AL170" s="24" t="str">
        <f t="shared" si="74"/>
        <v>2.94641789940578E-06-0.0017165107683983i</v>
      </c>
      <c r="AM170" s="24" t="str">
        <f t="shared" si="75"/>
        <v>1.26511911719773+4.31296563124915i</v>
      </c>
      <c r="AN170" s="24" t="str">
        <f t="shared" si="76"/>
        <v>-2.49000588098398+0.72575208646145i</v>
      </c>
      <c r="AO170" s="24">
        <f t="shared" si="59"/>
        <v>2.593616274304654</v>
      </c>
      <c r="AP170" s="24">
        <f t="shared" si="60"/>
        <v>2.8579834767787546</v>
      </c>
      <c r="AQ170" s="24">
        <f t="shared" si="61"/>
        <v>163.75039113754798</v>
      </c>
      <c r="AR170" s="24">
        <f t="shared" si="62"/>
        <v>8.2781144520824199</v>
      </c>
      <c r="AS170" s="24">
        <f t="shared" si="77"/>
        <v>7.1864066049987354</v>
      </c>
      <c r="AT170" s="24">
        <f t="shared" si="78"/>
        <v>78.627387997611237</v>
      </c>
    </row>
    <row r="171" spans="4:46">
      <c r="D171" s="13"/>
      <c r="R171" s="12"/>
      <c r="S171" s="12"/>
      <c r="T171" s="12"/>
      <c r="U171" s="12"/>
      <c r="V171" s="12"/>
      <c r="W171" s="12"/>
      <c r="X171" s="12"/>
      <c r="Y171" s="24">
        <v>169</v>
      </c>
      <c r="Z171" s="24">
        <f t="shared" si="54"/>
        <v>32684.900355380338</v>
      </c>
      <c r="AA171" s="24" t="str">
        <f t="shared" si="63"/>
        <v>205365.285679555i</v>
      </c>
      <c r="AB171" s="24">
        <f t="shared" si="55"/>
        <v>9.4210346008907155</v>
      </c>
      <c r="AD171" s="24" t="str">
        <f t="shared" si="56"/>
        <v>0.0131781906285895-0.100564340099408i</v>
      </c>
      <c r="AE171" s="24" t="str">
        <f t="shared" si="57"/>
        <v>0.998257485581068-0.0529816925097417i</v>
      </c>
      <c r="AF171" s="24" t="str">
        <f t="shared" si="71"/>
        <v>0.0640630682287296-0.827370893340017i</v>
      </c>
      <c r="AG171" s="24">
        <f t="shared" si="58"/>
        <v>0.82984737865292846</v>
      </c>
      <c r="AH171" s="24">
        <f t="shared" si="72"/>
        <v>-1.4935208263524582</v>
      </c>
      <c r="AI171" s="24">
        <f t="shared" si="53"/>
        <v>-85.572439964886954</v>
      </c>
      <c r="AJ171" s="24">
        <f t="shared" si="73"/>
        <v>-1.6200354706390483</v>
      </c>
      <c r="AL171" s="24" t="str">
        <f t="shared" si="74"/>
        <v>2.60537514368558E-06-0.00161411534770782i</v>
      </c>
      <c r="AM171" s="24" t="str">
        <f t="shared" si="75"/>
        <v>1.2996755583779+4.58431194710025i</v>
      </c>
      <c r="AN171" s="24" t="str">
        <f t="shared" si="76"/>
        <v>-2.48866620755859+0.70121153472438i</v>
      </c>
      <c r="AO171" s="24">
        <f t="shared" si="59"/>
        <v>2.585567076885567</v>
      </c>
      <c r="AP171" s="24">
        <f t="shared" si="60"/>
        <v>2.8669508094119669</v>
      </c>
      <c r="AQ171" s="24">
        <f t="shared" si="61"/>
        <v>164.26418145092094</v>
      </c>
      <c r="AR171" s="24">
        <f t="shared" si="62"/>
        <v>8.2511161815034075</v>
      </c>
      <c r="AS171" s="24">
        <f t="shared" si="77"/>
        <v>6.6310807108643592</v>
      </c>
      <c r="AT171" s="24">
        <f t="shared" si="78"/>
        <v>78.69174148603399</v>
      </c>
    </row>
    <row r="172" spans="4:46">
      <c r="D172" s="13"/>
      <c r="R172" s="12"/>
      <c r="S172" s="12"/>
      <c r="T172" s="12"/>
      <c r="U172" s="12"/>
      <c r="V172" s="12"/>
      <c r="W172" s="12"/>
      <c r="X172" s="12"/>
      <c r="Y172" s="24">
        <v>170</v>
      </c>
      <c r="Z172" s="24">
        <f t="shared" si="54"/>
        <v>34758.360136790499</v>
      </c>
      <c r="AA172" s="24" t="str">
        <f t="shared" si="63"/>
        <v>218393.217713139i</v>
      </c>
      <c r="AB172" s="24">
        <f t="shared" si="55"/>
        <v>9.4210346008907155</v>
      </c>
      <c r="AD172" s="24" t="str">
        <f t="shared" si="56"/>
        <v>0.0120027655525539-0.0946779584338474i</v>
      </c>
      <c r="AE172" s="24" t="str">
        <f t="shared" si="57"/>
        <v>0.998029395939689-0.0563377502513223i</v>
      </c>
      <c r="AF172" s="24" t="str">
        <f t="shared" si="71"/>
        <v>0.0543888256016076-0.778919719121959i</v>
      </c>
      <c r="AG172" s="24">
        <f t="shared" si="58"/>
        <v>0.78081628645114309</v>
      </c>
      <c r="AH172" s="24">
        <f t="shared" si="72"/>
        <v>-1.5010835078235578</v>
      </c>
      <c r="AI172" s="24">
        <f t="shared" si="53"/>
        <v>-86.005749694982754</v>
      </c>
      <c r="AJ172" s="24">
        <f t="shared" si="73"/>
        <v>-2.1490227325933171</v>
      </c>
      <c r="AL172" s="24" t="str">
        <f t="shared" si="74"/>
        <v>2.30380740381284E-06-0.00151782808522055i</v>
      </c>
      <c r="AM172" s="24" t="str">
        <f t="shared" si="75"/>
        <v>1.33871444837362+4.87241698170772i</v>
      </c>
      <c r="AN172" s="24" t="str">
        <f t="shared" si="76"/>
        <v>-2.48718069260401+0.679303612441245i</v>
      </c>
      <c r="AO172" s="24">
        <f t="shared" si="59"/>
        <v>2.5782787272787027</v>
      </c>
      <c r="AP172" s="24">
        <f t="shared" si="60"/>
        <v>2.8749732983922027</v>
      </c>
      <c r="AQ172" s="24">
        <f t="shared" si="61"/>
        <v>164.72383621067868</v>
      </c>
      <c r="AR172" s="24">
        <f t="shared" si="62"/>
        <v>8.2265973074831606</v>
      </c>
      <c r="AS172" s="24">
        <f t="shared" si="77"/>
        <v>6.0775745748898435</v>
      </c>
      <c r="AT172" s="24">
        <f t="shared" si="78"/>
        <v>78.71808651569593</v>
      </c>
    </row>
    <row r="173" spans="4:46">
      <c r="D173" s="13"/>
      <c r="R173" s="12"/>
      <c r="S173" s="12"/>
      <c r="T173" s="12"/>
      <c r="U173" s="12"/>
      <c r="V173" s="12"/>
      <c r="W173" s="12"/>
      <c r="X173" s="12"/>
      <c r="Y173" s="24">
        <v>171</v>
      </c>
      <c r="Z173" s="24">
        <f t="shared" si="54"/>
        <v>36963.355747234389</v>
      </c>
      <c r="AA173" s="24" t="str">
        <f t="shared" si="63"/>
        <v>232247.613735075i</v>
      </c>
      <c r="AB173" s="24">
        <f t="shared" si="55"/>
        <v>9.4210346008907155</v>
      </c>
      <c r="AD173" s="24" t="str">
        <f t="shared" si="56"/>
        <v>0.0109610590459182-0.0891239514562709i</v>
      </c>
      <c r="AE173" s="24" t="str">
        <f t="shared" si="57"/>
        <v>0.99777145101615-0.0599056968372496i</v>
      </c>
      <c r="AF173" s="24" t="str">
        <f t="shared" si="71"/>
        <v>0.0458147603161876-0.733202922852649i</v>
      </c>
      <c r="AG173" s="24">
        <f t="shared" si="58"/>
        <v>0.7346329140070551</v>
      </c>
      <c r="AH173" s="24">
        <f t="shared" si="72"/>
        <v>-1.5083916763406271</v>
      </c>
      <c r="AI173" s="24">
        <f t="shared" si="53"/>
        <v>-86.424476906981198</v>
      </c>
      <c r="AJ173" s="24">
        <f t="shared" si="73"/>
        <v>-2.6785923542436105</v>
      </c>
      <c r="AL173" s="24" t="str">
        <f t="shared" si="74"/>
        <v>2.03714554560844E-06-0.00142728462320816i</v>
      </c>
      <c r="AM173" s="24" t="str">
        <f t="shared" si="75"/>
        <v>1.38281119400981+5.17825270827116i</v>
      </c>
      <c r="AN173" s="24" t="str">
        <f t="shared" si="76"/>
        <v>-2.48552739918295+0.659941224111313i</v>
      </c>
      <c r="AO173" s="24">
        <f t="shared" si="59"/>
        <v>2.5716471125274358</v>
      </c>
      <c r="AP173" s="24">
        <f t="shared" si="60"/>
        <v>2.8820671239888878</v>
      </c>
      <c r="AQ173" s="24">
        <f t="shared" si="61"/>
        <v>165.13028247797061</v>
      </c>
      <c r="AR173" s="24">
        <f t="shared" si="62"/>
        <v>8.2042274685838485</v>
      </c>
      <c r="AS173" s="24">
        <f t="shared" si="77"/>
        <v>5.525635114340238</v>
      </c>
      <c r="AT173" s="24">
        <f t="shared" si="78"/>
        <v>78.705805570989412</v>
      </c>
    </row>
    <row r="174" spans="4:46">
      <c r="D174" s="13"/>
      <c r="R174" s="12"/>
      <c r="S174" s="12"/>
      <c r="T174" s="12"/>
      <c r="U174" s="12"/>
      <c r="V174" s="12"/>
      <c r="W174" s="12"/>
      <c r="X174" s="12"/>
      <c r="Y174" s="24">
        <v>172</v>
      </c>
      <c r="Z174" s="24">
        <f t="shared" si="54"/>
        <v>39308.231536804677</v>
      </c>
      <c r="AA174" s="24" t="str">
        <f t="shared" si="63"/>
        <v>246980.902843264i</v>
      </c>
      <c r="AB174" s="24">
        <f t="shared" si="55"/>
        <v>9.4210346008907155</v>
      </c>
      <c r="AD174" s="24" t="str">
        <f t="shared" si="56"/>
        <v>0.0100380968710826-0.0838855991283977i</v>
      </c>
      <c r="AE174" s="24" t="str">
        <f t="shared" si="57"/>
        <v>0.997479743262975-0.0636987683111533i</v>
      </c>
      <c r="AF174" s="24" t="str">
        <f t="shared" si="71"/>
        <v>0.0382176217301297-0.690082860864479i</v>
      </c>
      <c r="AG174" s="24">
        <f t="shared" si="58"/>
        <v>0.69114031966715062</v>
      </c>
      <c r="AH174" s="24">
        <f t="shared" si="72"/>
        <v>-1.5154716353742015</v>
      </c>
      <c r="AI174" s="24">
        <f t="shared" si="53"/>
        <v>-86.830128678730532</v>
      </c>
      <c r="AJ174" s="24">
        <f t="shared" si="73"/>
        <v>-3.2086754093753682</v>
      </c>
      <c r="AL174" s="24" t="str">
        <f t="shared" si="74"/>
        <v>1.80134929640056E-06-0.00134214233654306i</v>
      </c>
      <c r="AM174" s="24" t="str">
        <f t="shared" si="75"/>
        <v>1.432613397053+5.50283464988677i</v>
      </c>
      <c r="AN174" s="24" t="str">
        <f t="shared" si="76"/>
        <v>-2.4836820057352+0.643046070706157i</v>
      </c>
      <c r="AO174" s="24">
        <f t="shared" si="59"/>
        <v>2.565576846376552</v>
      </c>
      <c r="AP174" s="24">
        <f t="shared" si="60"/>
        <v>2.8882473708666314</v>
      </c>
      <c r="AQ174" s="24">
        <f t="shared" si="61"/>
        <v>165.48438454041423</v>
      </c>
      <c r="AR174" s="24">
        <f t="shared" si="62"/>
        <v>8.1837005510029908</v>
      </c>
      <c r="AS174" s="24">
        <f t="shared" si="77"/>
        <v>4.9750251416276221</v>
      </c>
      <c r="AT174" s="24">
        <f t="shared" si="78"/>
        <v>78.654255861683694</v>
      </c>
    </row>
    <row r="175" spans="4:46">
      <c r="D175" s="13"/>
      <c r="R175" s="12"/>
      <c r="S175" s="12"/>
      <c r="T175" s="12"/>
      <c r="U175" s="12"/>
      <c r="V175" s="12"/>
      <c r="W175" s="12"/>
      <c r="X175" s="12"/>
      <c r="Y175" s="24">
        <v>173</v>
      </c>
      <c r="Z175" s="24">
        <f t="shared" si="54"/>
        <v>41801.861203217486</v>
      </c>
      <c r="AA175" s="24" t="str">
        <f t="shared" si="63"/>
        <v>262648.840124816i</v>
      </c>
      <c r="AB175" s="24">
        <f t="shared" si="55"/>
        <v>9.4210346008907155</v>
      </c>
      <c r="AD175" s="24" t="str">
        <f t="shared" si="56"/>
        <v>0.00922053000190494-0.0789466696984021i</v>
      </c>
      <c r="AE175" s="24" t="str">
        <f t="shared" si="57"/>
        <v>0.997149853797534-0.067730998476104i</v>
      </c>
      <c r="AF175" s="24" t="str">
        <f t="shared" si="71"/>
        <v>0.0314875298536546-0.649425903321936i</v>
      </c>
      <c r="AG175" s="24">
        <f t="shared" si="58"/>
        <v>0.65018879446034539</v>
      </c>
      <c r="AH175" s="24">
        <f t="shared" si="72"/>
        <v>-1.5223490895072944</v>
      </c>
      <c r="AI175" s="24">
        <f t="shared" si="53"/>
        <v>-87.224177774351574</v>
      </c>
      <c r="AJ175" s="24">
        <f t="shared" si="73"/>
        <v>-3.7392103906143253</v>
      </c>
      <c r="AL175" s="24" t="str">
        <f t="shared" si="74"/>
        <v>1.59284603207448E-06-0.00126207903671521i</v>
      </c>
      <c r="AM175" s="24" t="str">
        <f t="shared" si="75"/>
        <v>1.48884944981843+5.8472211014949i</v>
      </c>
      <c r="AN175" s="24" t="str">
        <f t="shared" si="76"/>
        <v>-2.48161748072659+0.628548189635491i</v>
      </c>
      <c r="AO175" s="24">
        <f t="shared" si="59"/>
        <v>2.5599801068254107</v>
      </c>
      <c r="AP175" s="24">
        <f t="shared" si="60"/>
        <v>2.8935277641728625</v>
      </c>
      <c r="AQ175" s="24">
        <f t="shared" si="61"/>
        <v>165.78692879103039</v>
      </c>
      <c r="AR175" s="24">
        <f t="shared" si="62"/>
        <v>8.1647318099126185</v>
      </c>
      <c r="AS175" s="24">
        <f t="shared" si="77"/>
        <v>4.4255214192982937</v>
      </c>
      <c r="AT175" s="24">
        <f t="shared" si="78"/>
        <v>78.562751016678817</v>
      </c>
    </row>
    <row r="176" spans="4:46">
      <c r="D176" s="13"/>
      <c r="R176" s="12"/>
      <c r="S176" s="12"/>
      <c r="T176" s="12"/>
      <c r="U176" s="12"/>
      <c r="V176" s="12"/>
      <c r="W176" s="12"/>
      <c r="X176" s="12"/>
      <c r="Y176" s="24">
        <v>174</v>
      </c>
      <c r="Z176" s="24">
        <f t="shared" si="54"/>
        <v>44453.681372487059</v>
      </c>
      <c r="AA176" s="24" t="str">
        <f t="shared" si="63"/>
        <v>279310.717649654i</v>
      </c>
      <c r="AB176" s="24">
        <f t="shared" si="55"/>
        <v>9.4210346008907155</v>
      </c>
      <c r="AD176" s="24" t="str">
        <f t="shared" si="56"/>
        <v>0.00849646952804826-0.0742914725932274i</v>
      </c>
      <c r="AE176" s="24" t="str">
        <f t="shared" si="57"/>
        <v>0.996776785522893-0.0720172609329609i</v>
      </c>
      <c r="AF176" s="24" t="str">
        <f t="shared" si="71"/>
        <v>0.0255266163526168-0.611102869011449i</v>
      </c>
      <c r="AG176" s="24">
        <f t="shared" si="58"/>
        <v>0.61163577777664202</v>
      </c>
      <c r="AH176" s="24">
        <f t="shared" si="72"/>
        <v>-1.5290492061826233</v>
      </c>
      <c r="AI176" s="24">
        <f t="shared" si="53"/>
        <v>-87.60806618209314</v>
      </c>
      <c r="AJ176" s="24">
        <f t="shared" si="73"/>
        <v>-4.2701423672051595</v>
      </c>
      <c r="AL176" s="24" t="str">
        <f t="shared" si="74"/>
        <v>1.40847664899497E-06-0.00118679175308413i</v>
      </c>
      <c r="AM176" s="24" t="str">
        <f t="shared" si="75"/>
        <v>1.55233802508634+6.21251163045613i</v>
      </c>
      <c r="AN176" s="24" t="str">
        <f t="shared" si="76"/>
        <v>-2.47930372793667+0.616385494893843i</v>
      </c>
      <c r="AO176" s="24">
        <f t="shared" si="59"/>
        <v>2.5547755388049649</v>
      </c>
      <c r="AP176" s="24">
        <f t="shared" si="60"/>
        <v>2.8979204516917902</v>
      </c>
      <c r="AQ176" s="24">
        <f t="shared" si="61"/>
        <v>166.03861124658474</v>
      </c>
      <c r="AR176" s="24">
        <f t="shared" si="62"/>
        <v>8.1470549853782401</v>
      </c>
      <c r="AS176" s="24">
        <f t="shared" si="77"/>
        <v>3.8769126181730806</v>
      </c>
      <c r="AT176" s="24">
        <f t="shared" si="78"/>
        <v>78.430545064491596</v>
      </c>
    </row>
    <row r="177" spans="4:46">
      <c r="D177" s="13"/>
      <c r="R177" s="12"/>
      <c r="S177" s="12"/>
      <c r="T177" s="12"/>
      <c r="U177" s="12"/>
      <c r="V177" s="12"/>
      <c r="W177" s="12"/>
      <c r="X177" s="12"/>
      <c r="Y177" s="24">
        <v>175</v>
      </c>
      <c r="Z177" s="24">
        <f t="shared" si="54"/>
        <v>47273.727309885995</v>
      </c>
      <c r="AA177" s="24" t="str">
        <f t="shared" si="63"/>
        <v>297029.58884909i</v>
      </c>
      <c r="AB177" s="24">
        <f t="shared" si="55"/>
        <v>9.4210346008907155</v>
      </c>
      <c r="AD177" s="24" t="str">
        <f t="shared" si="56"/>
        <v>0.00785533581312671-0.0699048953118862i</v>
      </c>
      <c r="AE177" s="24" t="str">
        <f t="shared" si="57"/>
        <v>0.996354887513498-0.0765733120212382i</v>
      </c>
      <c r="AF177" s="24" t="str">
        <f t="shared" si="71"/>
        <v>0.0202477828012976-0.574989328406255i</v>
      </c>
      <c r="AG177" s="24">
        <f t="shared" si="58"/>
        <v>0.57534572257855954</v>
      </c>
      <c r="AH177" s="24">
        <f t="shared" si="72"/>
        <v>-1.5355966827746421</v>
      </c>
      <c r="AI177" s="24">
        <f t="shared" si="53"/>
        <v>-87.983208957276517</v>
      </c>
      <c r="AJ177" s="24">
        <f t="shared" si="73"/>
        <v>-4.8014222266157578</v>
      </c>
      <c r="AL177" s="24" t="str">
        <f t="shared" si="74"/>
        <v>1.24544770083336E-06-0.00111599558677146i</v>
      </c>
      <c r="AM177" s="24" t="str">
        <f t="shared" si="75"/>
        <v>1.62399851629469+6.59984468967605i</v>
      </c>
      <c r="AN177" s="24" t="str">
        <f t="shared" si="76"/>
        <v>-2.47670720012609+0.606503309963315i</v>
      </c>
      <c r="AO177" s="24">
        <f t="shared" si="59"/>
        <v>2.5498872171437061</v>
      </c>
      <c r="AP177" s="24">
        <f t="shared" si="60"/>
        <v>2.9014358268569072</v>
      </c>
      <c r="AQ177" s="24">
        <f t="shared" si="61"/>
        <v>166.24002740695104</v>
      </c>
      <c r="AR177" s="24">
        <f t="shared" si="62"/>
        <v>8.1304194356959432</v>
      </c>
      <c r="AS177" s="24">
        <f t="shared" si="77"/>
        <v>3.3289972090801854</v>
      </c>
      <c r="AT177" s="24">
        <f t="shared" si="78"/>
        <v>78.256818449674526</v>
      </c>
    </row>
    <row r="178" spans="4:46">
      <c r="D178" s="13"/>
      <c r="R178" s="12"/>
      <c r="S178" s="12"/>
      <c r="T178" s="12"/>
      <c r="U178" s="12"/>
      <c r="V178" s="12"/>
      <c r="W178" s="12"/>
      <c r="X178" s="12"/>
      <c r="Y178" s="24">
        <v>176</v>
      </c>
      <c r="Z178" s="24">
        <f t="shared" si="54"/>
        <v>50272.670896332245</v>
      </c>
      <c r="AA178" s="24" t="str">
        <f t="shared" si="63"/>
        <v>315872.50712851i</v>
      </c>
      <c r="AB178" s="24">
        <f t="shared" si="55"/>
        <v>9.4210346008907155</v>
      </c>
      <c r="AD178" s="24" t="str">
        <f t="shared" si="56"/>
        <v>0.00728772126586083-0.0657724271868568i</v>
      </c>
      <c r="AE178" s="24" t="str">
        <f t="shared" si="57"/>
        <v>0.995877769529467-0.0814158343524074i</v>
      </c>
      <c r="AF178" s="24" t="str">
        <f t="shared" si="71"/>
        <v>0.0155735709079566-0.540965798588155i</v>
      </c>
      <c r="AG178" s="24">
        <f t="shared" si="58"/>
        <v>0.54118992170304259</v>
      </c>
      <c r="AH178" s="24">
        <f t="shared" si="72"/>
        <v>-1.5420158183847601</v>
      </c>
      <c r="AI178" s="24">
        <f t="shared" si="53"/>
        <v>-88.350998335858421</v>
      </c>
      <c r="AJ178" s="24">
        <f t="shared" si="73"/>
        <v>-5.3330059927636118</v>
      </c>
      <c r="AL178" s="24" t="str">
        <f t="shared" si="74"/>
        <v>1.10128907521991E-06-0.00104942263287118i</v>
      </c>
      <c r="AM178" s="24" t="str">
        <f t="shared" si="75"/>
        <v>1.70486247568384+7.01039414772035i</v>
      </c>
      <c r="AN178" s="24" t="str">
        <f t="shared" si="76"/>
        <v>-2.47379047915058+0.598853885092664i</v>
      </c>
      <c r="AO178" s="24">
        <f t="shared" si="59"/>
        <v>2.5452436642542957</v>
      </c>
      <c r="AP178" s="24">
        <f t="shared" si="60"/>
        <v>2.9040823879842921</v>
      </c>
      <c r="AQ178" s="24">
        <f t="shared" si="61"/>
        <v>166.39166418977359</v>
      </c>
      <c r="AR178" s="24">
        <f t="shared" si="62"/>
        <v>8.1145873010435743</v>
      </c>
      <c r="AS178" s="24">
        <f t="shared" si="77"/>
        <v>2.7815813082799625</v>
      </c>
      <c r="AT178" s="24">
        <f t="shared" si="78"/>
        <v>78.040665853915172</v>
      </c>
    </row>
    <row r="179" spans="4:46">
      <c r="D179" s="13"/>
      <c r="R179" s="12"/>
      <c r="S179" s="12"/>
      <c r="T179" s="12"/>
      <c r="U179" s="12"/>
      <c r="V179" s="12"/>
      <c r="W179" s="12"/>
      <c r="X179" s="12"/>
      <c r="Y179" s="24">
        <v>177</v>
      </c>
      <c r="Z179" s="24">
        <f t="shared" si="54"/>
        <v>53461.861013916772</v>
      </c>
      <c r="AA179" s="24" t="str">
        <f t="shared" si="63"/>
        <v>335910.779617119i</v>
      </c>
      <c r="AB179" s="24">
        <f t="shared" si="55"/>
        <v>9.4210346008907155</v>
      </c>
      <c r="AD179" s="24" t="str">
        <f t="shared" si="56"/>
        <v>0.00678526595262285-0.0618801724515242i</v>
      </c>
      <c r="AE179" s="24" t="str">
        <f t="shared" si="57"/>
        <v>0.995338205377349-0.0865624805279769i</v>
      </c>
      <c r="AF179" s="24" t="str">
        <f t="shared" si="71"/>
        <v>0.0114351383596492-0.508917850074224i</v>
      </c>
      <c r="AG179" s="24">
        <f t="shared" si="58"/>
        <v>0.50904630488146618</v>
      </c>
      <c r="AH179" s="24">
        <f t="shared" si="72"/>
        <v>-1.548330589964805</v>
      </c>
      <c r="AI179" s="24">
        <f t="shared" si="53"/>
        <v>-88.712808095984144</v>
      </c>
      <c r="AJ179" s="24">
        <f t="shared" si="73"/>
        <v>-5.8648542141749456</v>
      </c>
      <c r="AL179" s="24" t="str">
        <f t="shared" si="74"/>
        <v>9.73816569053517E-07-0.000986820966910821i</v>
      </c>
      <c r="AM179" s="24" t="str">
        <f t="shared" si="75"/>
        <v>1.79608608494125+7.4453645069895i</v>
      </c>
      <c r="AN179" s="24" t="str">
        <f t="shared" si="76"/>
        <v>-2.47051182108174+0.593395889474479i</v>
      </c>
      <c r="AO179" s="24">
        <f t="shared" si="59"/>
        <v>2.5407769165650542</v>
      </c>
      <c r="AP179" s="24">
        <f t="shared" si="60"/>
        <v>2.9058666297553466</v>
      </c>
      <c r="AQ179" s="24">
        <f t="shared" si="61"/>
        <v>166.49389371288595</v>
      </c>
      <c r="AR179" s="24">
        <f t="shared" si="62"/>
        <v>8.0993307023616463</v>
      </c>
      <c r="AS179" s="24">
        <f t="shared" si="77"/>
        <v>2.2344764881867007</v>
      </c>
      <c r="AT179" s="24">
        <f t="shared" si="78"/>
        <v>77.781085616901805</v>
      </c>
    </row>
    <row r="180" spans="4:46">
      <c r="D180" s="13"/>
      <c r="R180" s="12"/>
      <c r="S180" s="12"/>
      <c r="T180" s="12"/>
      <c r="U180" s="12"/>
      <c r="V180" s="12"/>
      <c r="W180" s="12"/>
      <c r="X180" s="12"/>
      <c r="Y180" s="24">
        <v>178</v>
      </c>
      <c r="Z180" s="24">
        <f t="shared" si="54"/>
        <v>56853.366493401947</v>
      </c>
      <c r="AA180" s="24" t="str">
        <f t="shared" si="63"/>
        <v>357220.237015039i</v>
      </c>
      <c r="AB180" s="24">
        <f t="shared" si="55"/>
        <v>9.4210346008907155</v>
      </c>
      <c r="AD180" s="24" t="str">
        <f t="shared" si="56"/>
        <v>0.00634054520424746-0.0582148546753428i</v>
      </c>
      <c r="AE180" s="24" t="str">
        <f t="shared" si="57"/>
        <v>0.994728023671316-0.0920319165139719i</v>
      </c>
      <c r="AF180" s="24" t="str">
        <f t="shared" si="71"/>
        <v>0.00777133331175567-0.478736142497598i</v>
      </c>
      <c r="AG180" s="24">
        <f t="shared" si="58"/>
        <v>0.47879921444685225</v>
      </c>
      <c r="AH180" s="24">
        <f t="shared" si="72"/>
        <v>-1.5545647325628684</v>
      </c>
      <c r="AI180" s="24">
        <f t="shared" si="53"/>
        <v>-89.069998155735902</v>
      </c>
      <c r="AJ180" s="24">
        <f t="shared" si="73"/>
        <v>-6.3969314160091617</v>
      </c>
      <c r="AL180" s="24" t="str">
        <f t="shared" si="74"/>
        <v>8.6109879550162E-07-0.000927953691738162i</v>
      </c>
      <c r="AM180" s="24" t="str">
        <f t="shared" si="75"/>
        <v>1.89896367350629+7.90598454368239i</v>
      </c>
      <c r="AN180" s="24" t="str">
        <f t="shared" si="76"/>
        <v>-2.46682466560802+0.590093867598218i</v>
      </c>
      <c r="AO180" s="24">
        <f t="shared" si="59"/>
        <v>2.5364216336069094</v>
      </c>
      <c r="AP180" s="24">
        <f t="shared" si="60"/>
        <v>2.9067929637041661</v>
      </c>
      <c r="AQ180" s="24">
        <f t="shared" si="61"/>
        <v>166.54696873857301</v>
      </c>
      <c r="AR180" s="24">
        <f t="shared" si="62"/>
        <v>8.0844289741656681</v>
      </c>
      <c r="AS180" s="24">
        <f t="shared" si="77"/>
        <v>1.6874975581565064</v>
      </c>
      <c r="AT180" s="24">
        <f t="shared" si="78"/>
        <v>77.476970582837112</v>
      </c>
    </row>
    <row r="181" spans="4:46">
      <c r="D181" s="13"/>
      <c r="R181" s="12"/>
      <c r="S181" s="12"/>
      <c r="T181" s="12"/>
      <c r="U181" s="12"/>
      <c r="V181" s="12"/>
      <c r="W181" s="12"/>
      <c r="X181" s="12"/>
      <c r="Y181" s="24">
        <v>179</v>
      </c>
      <c r="Z181" s="24">
        <f t="shared" si="54"/>
        <v>60460.02178621637</v>
      </c>
      <c r="AA181" s="24" t="str">
        <f t="shared" si="63"/>
        <v>379881.520558912i</v>
      </c>
      <c r="AB181" s="24">
        <f t="shared" si="55"/>
        <v>9.4210346008907155</v>
      </c>
      <c r="AD181" s="24" t="str">
        <f t="shared" si="56"/>
        <v>0.00594696833600145-0.0547638143013679i</v>
      </c>
      <c r="AE181" s="24" t="str">
        <f t="shared" si="57"/>
        <v>0.994037984365043-0.0978438639942023i</v>
      </c>
      <c r="AF181" s="24" t="str">
        <f t="shared" si="71"/>
        <v>0.0045278602685374-0.450316403397198i</v>
      </c>
      <c r="AG181" s="24">
        <f t="shared" si="58"/>
        <v>0.45033916628159193</v>
      </c>
      <c r="AH181" s="24">
        <f t="shared" si="72"/>
        <v>-1.5607418236611541</v>
      </c>
      <c r="AI181" s="24">
        <f t="shared" si="53"/>
        <v>-89.423919405335496</v>
      </c>
      <c r="AJ181" s="24">
        <f t="shared" si="73"/>
        <v>-6.9292056105846287</v>
      </c>
      <c r="AL181" s="24" t="str">
        <f t="shared" si="74"/>
        <v>7.61427921339273E-07-0.000872598041234791i</v>
      </c>
      <c r="AM181" s="24" t="str">
        <f t="shared" si="75"/>
        <v>2.01494227231375+8.39349906209535i</v>
      </c>
      <c r="AN181" s="24" t="str">
        <f t="shared" si="76"/>
        <v>-2.4626771099818+0.58891764767151i</v>
      </c>
      <c r="AO181" s="24">
        <f t="shared" si="59"/>
        <v>2.5321142438221966</v>
      </c>
      <c r="AP181" s="24">
        <f t="shared" si="60"/>
        <v>2.9068636652263726</v>
      </c>
      <c r="AQ181" s="24">
        <f t="shared" si="61"/>
        <v>166.5510196374006</v>
      </c>
      <c r="AR181" s="24">
        <f t="shared" si="62"/>
        <v>8.0696659253445837</v>
      </c>
      <c r="AS181" s="24">
        <f t="shared" si="77"/>
        <v>1.140460314759955</v>
      </c>
      <c r="AT181" s="24">
        <f t="shared" si="78"/>
        <v>77.127100232065104</v>
      </c>
    </row>
    <row r="182" spans="4:46">
      <c r="D182" s="13"/>
      <c r="R182" s="12"/>
      <c r="S182" s="12"/>
      <c r="T182" s="12"/>
      <c r="U182" s="12"/>
      <c r="V182" s="12"/>
      <c r="W182" s="12"/>
      <c r="X182" s="12"/>
      <c r="Y182" s="24">
        <v>180</v>
      </c>
      <c r="Z182" s="24">
        <f t="shared" si="54"/>
        <v>64295.47553378361</v>
      </c>
      <c r="AA182" s="24" t="str">
        <f t="shared" si="63"/>
        <v>403980.387191994i</v>
      </c>
      <c r="AB182" s="24">
        <f t="shared" si="55"/>
        <v>9.4210346008907155</v>
      </c>
      <c r="AD182" s="24" t="str">
        <f t="shared" si="56"/>
        <v>0.00559868759612121-0.051515000738498i</v>
      </c>
      <c r="AE182" s="24" t="str">
        <f t="shared" si="57"/>
        <v>0.993257639219081-0.10401914084043i</v>
      </c>
      <c r="AF182" s="24" t="str">
        <f t="shared" si="71"/>
        <v>0.00165653007322576-0.423559362044548i</v>
      </c>
      <c r="AG182" s="24">
        <f t="shared" si="58"/>
        <v>0.42356260135600732</v>
      </c>
      <c r="AH182" s="24">
        <f t="shared" si="72"/>
        <v>-1.5668853717415976</v>
      </c>
      <c r="AI182" s="24">
        <f t="shared" si="53"/>
        <v>-89.775918781580614</v>
      </c>
      <c r="AJ182" s="24">
        <f t="shared" si="73"/>
        <v>-7.4616478618360897</v>
      </c>
      <c r="AL182" s="24" t="str">
        <f t="shared" si="74"/>
        <v>6.73293791299056E-07-0.000820544537471627i</v>
      </c>
      <c r="AM182" s="24" t="str">
        <f t="shared" si="75"/>
        <v>2.14563715330882+8.90915841120777i</v>
      </c>
      <c r="AN182" s="24" t="str">
        <f t="shared" si="76"/>
        <v>-2.45801134912686+0.589841688491408i</v>
      </c>
      <c r="AO182" s="24">
        <f t="shared" si="59"/>
        <v>2.5277921215793913</v>
      </c>
      <c r="AP182" s="24">
        <f t="shared" si="60"/>
        <v>2.906078845406868</v>
      </c>
      <c r="AQ182" s="24">
        <f t="shared" si="61"/>
        <v>166.50605277406476</v>
      </c>
      <c r="AR182" s="24">
        <f t="shared" si="62"/>
        <v>8.0548271187648677</v>
      </c>
      <c r="AS182" s="24">
        <f t="shared" si="77"/>
        <v>0.59317925692877793</v>
      </c>
      <c r="AT182" s="24">
        <f t="shared" si="78"/>
        <v>76.730133992484141</v>
      </c>
    </row>
    <row r="183" spans="4:46">
      <c r="D183" s="13"/>
      <c r="R183" s="12"/>
      <c r="S183" s="12"/>
      <c r="T183" s="12"/>
      <c r="U183" s="12"/>
      <c r="V183" s="12"/>
      <c r="W183" s="12"/>
      <c r="X183" s="12"/>
      <c r="Y183" s="24">
        <v>181</v>
      </c>
      <c r="Z183" s="24">
        <f t="shared" si="54"/>
        <v>68374.242217984312</v>
      </c>
      <c r="AA183" s="24" t="str">
        <f t="shared" si="63"/>
        <v>429608.034093577i</v>
      </c>
      <c r="AB183" s="24">
        <f t="shared" si="55"/>
        <v>9.4210346008907155</v>
      </c>
      <c r="AD183" s="24" t="str">
        <f t="shared" si="56"/>
        <v>0.00529051647669513-0.0484569602186324i</v>
      </c>
      <c r="AE183" s="24" t="str">
        <f t="shared" si="57"/>
        <v>0.9923751741394-0.110579698610076i</v>
      </c>
      <c r="AF183" s="24" t="str">
        <f t="shared" si="71"/>
        <v>-0.000885413121399434-0.398370648239026i</v>
      </c>
      <c r="AG183" s="24">
        <f t="shared" si="58"/>
        <v>0.39837163219132127</v>
      </c>
      <c r="AH183" s="24">
        <f t="shared" si="72"/>
        <v>-1.5730189093756413</v>
      </c>
      <c r="AI183" s="24">
        <f t="shared" si="53"/>
        <v>-90.127344601495977</v>
      </c>
      <c r="AJ183" s="24">
        <f t="shared" si="73"/>
        <v>-7.9942319000175699</v>
      </c>
      <c r="AL183" s="24" t="str">
        <f t="shared" si="74"/>
        <v>5.95361047412037E-07-0.000771596198122606i</v>
      </c>
      <c r="AM183" s="24" t="str">
        <f t="shared" si="75"/>
        <v>2.2928482551218+9.45420536435391i</v>
      </c>
      <c r="AN183" s="24" t="str">
        <f t="shared" si="76"/>
        <v>-2.45276308530902+0.592844349541928i</v>
      </c>
      <c r="AO183" s="24">
        <f t="shared" si="59"/>
        <v>2.5233927905576681</v>
      </c>
      <c r="AP183" s="24">
        <f t="shared" si="60"/>
        <v>2.9044364467535253</v>
      </c>
      <c r="AQ183" s="24">
        <f t="shared" si="61"/>
        <v>166.41195026295026</v>
      </c>
      <c r="AR183" s="24">
        <f t="shared" si="62"/>
        <v>8.0396971585425927</v>
      </c>
      <c r="AS183" s="24">
        <f t="shared" si="77"/>
        <v>4.5465258525022811E-2</v>
      </c>
      <c r="AT183" s="24">
        <f t="shared" si="78"/>
        <v>76.284605661454279</v>
      </c>
    </row>
    <row r="184" spans="4:46">
      <c r="D184" s="13"/>
      <c r="R184" s="12"/>
      <c r="S184" s="12"/>
      <c r="T184" s="12"/>
      <c r="U184" s="12"/>
      <c r="V184" s="12"/>
      <c r="W184" s="12"/>
      <c r="X184" s="12"/>
      <c r="Y184" s="24">
        <v>182</v>
      </c>
      <c r="Z184" s="24">
        <f t="shared" si="54"/>
        <v>72711.757088212587</v>
      </c>
      <c r="AA184" s="24" t="str">
        <f t="shared" si="63"/>
        <v>456861.443795868i</v>
      </c>
      <c r="AB184" s="24">
        <f t="shared" si="55"/>
        <v>9.4210346008907155</v>
      </c>
      <c r="AD184" s="24" t="str">
        <f t="shared" si="56"/>
        <v>0.00501785655414227-0.0455788204223375i</v>
      </c>
      <c r="AE184" s="24" t="str">
        <f t="shared" si="57"/>
        <v>0.991377231068281-0.117548655701387i</v>
      </c>
      <c r="AF184" s="24" t="str">
        <f t="shared" si="71"/>
        <v>-0.00313589475360627-0.374660664297634i</v>
      </c>
      <c r="AG184" s="24">
        <f t="shared" si="58"/>
        <v>0.37467378772453525</v>
      </c>
      <c r="AH184" s="24">
        <f t="shared" si="72"/>
        <v>-1.579166091293416</v>
      </c>
      <c r="AI184" s="24">
        <f t="shared" si="53"/>
        <v>-90.479552181283594</v>
      </c>
      <c r="AJ184" s="24">
        <f t="shared" si="73"/>
        <v>-8.5269337839629316</v>
      </c>
      <c r="AL184" s="24" t="str">
        <f t="shared" si="74"/>
        <v>5.26448896690814E-07-0.000725567791141788i</v>
      </c>
      <c r="AM184" s="24" t="str">
        <f t="shared" si="75"/>
        <v>2.45857733004541+10.0298589145349i</v>
      </c>
      <c r="AN184" s="24" t="str">
        <f t="shared" si="76"/>
        <v>-2.44686091310234+0.59790706744541i</v>
      </c>
      <c r="AO184" s="24">
        <f t="shared" si="59"/>
        <v>2.5188531496236908</v>
      </c>
      <c r="AP184" s="24">
        <f t="shared" si="60"/>
        <v>2.9019322627173652</v>
      </c>
      <c r="AQ184" s="24">
        <f t="shared" si="61"/>
        <v>166.26847108655423</v>
      </c>
      <c r="AR184" s="24">
        <f t="shared" si="62"/>
        <v>8.0240569730892517</v>
      </c>
      <c r="AS184" s="24">
        <f t="shared" si="77"/>
        <v>-0.50287681087367986</v>
      </c>
      <c r="AT184" s="24">
        <f t="shared" si="78"/>
        <v>75.788918905270634</v>
      </c>
    </row>
    <row r="185" spans="4:46">
      <c r="D185" s="13"/>
      <c r="R185" s="12"/>
      <c r="S185" s="12"/>
      <c r="T185" s="12"/>
      <c r="U185" s="12"/>
      <c r="V185" s="12"/>
      <c r="W185" s="12"/>
      <c r="X185" s="12"/>
      <c r="Y185" s="24">
        <v>183</v>
      </c>
      <c r="Z185" s="24">
        <f t="shared" si="54"/>
        <v>77324.434572886516</v>
      </c>
      <c r="AA185" s="24" t="str">
        <f t="shared" si="63"/>
        <v>485843.75119433i</v>
      </c>
      <c r="AB185" s="24">
        <f t="shared" si="55"/>
        <v>9.4210346008907155</v>
      </c>
      <c r="AD185" s="24" t="str">
        <f t="shared" si="56"/>
        <v>0.00477663206994468-0.0428702727011695i</v>
      </c>
      <c r="AE185" s="24" t="str">
        <f t="shared" si="57"/>
        <v>0.990248706827634-0.124950324449533i</v>
      </c>
      <c r="AF185" s="24" t="str">
        <f t="shared" si="71"/>
        <v>-0.00512854911623017-0.352344437015869i</v>
      </c>
      <c r="AG185" s="24">
        <f t="shared" si="58"/>
        <v>0.352381759335053</v>
      </c>
      <c r="AH185" s="24">
        <f t="shared" si="72"/>
        <v>-1.5853507980480639</v>
      </c>
      <c r="AI185" s="24">
        <f t="shared" si="53"/>
        <v>-90.833909775850969</v>
      </c>
      <c r="AJ185" s="24">
        <f t="shared" si="73"/>
        <v>-9.0597316093519762</v>
      </c>
      <c r="AL185" s="24" t="str">
        <f t="shared" si="74"/>
        <v>4.65513220626433E-07-0.000682285133887493i</v>
      </c>
      <c r="AM185" s="24" t="str">
        <f t="shared" si="75"/>
        <v>2.64504556378035+10.6372944908489i</v>
      </c>
      <c r="AN185" s="24" t="str">
        <f t="shared" si="76"/>
        <v>-2.44022568836563+0.605013420285155i</v>
      </c>
      <c r="AO185" s="24">
        <f t="shared" si="59"/>
        <v>2.5141087185888873</v>
      </c>
      <c r="AP185" s="24">
        <f t="shared" si="60"/>
        <v>2.8985599816733432</v>
      </c>
      <c r="AQ185" s="24">
        <f t="shared" si="61"/>
        <v>166.07525361539982</v>
      </c>
      <c r="AR185" s="24">
        <f t="shared" si="62"/>
        <v>8.007681082450901</v>
      </c>
      <c r="AS185" s="24">
        <f t="shared" si="77"/>
        <v>-1.0520505269010751</v>
      </c>
      <c r="AT185" s="24">
        <f t="shared" si="78"/>
        <v>75.241343839548847</v>
      </c>
    </row>
    <row r="186" spans="4:46">
      <c r="D186" s="13"/>
      <c r="R186" s="12"/>
      <c r="S186" s="12"/>
      <c r="T186" s="12"/>
      <c r="U186" s="12"/>
      <c r="V186" s="12"/>
      <c r="W186" s="12"/>
      <c r="X186" s="12"/>
      <c r="Y186" s="24">
        <v>184</v>
      </c>
      <c r="Z186" s="24">
        <f t="shared" si="54"/>
        <v>82229.730396460247</v>
      </c>
      <c r="AA186" s="24" t="str">
        <f t="shared" si="63"/>
        <v>516664.633840378i</v>
      </c>
      <c r="AB186" s="24">
        <f t="shared" si="55"/>
        <v>9.4210346008907155</v>
      </c>
      <c r="AD186" s="24" t="str">
        <f t="shared" si="56"/>
        <v>0.00456323151169901-0.0403215525764764i</v>
      </c>
      <c r="AE186" s="24" t="str">
        <f t="shared" si="57"/>
        <v>0.988972526006067-0.132810230019439i</v>
      </c>
      <c r="AF186" s="24" t="str">
        <f t="shared" si="71"/>
        <v>-0.00689320106452455-0.33134145514887i</v>
      </c>
      <c r="AG186" s="24">
        <f t="shared" si="58"/>
        <v>0.33141315019335998</v>
      </c>
      <c r="AH186" s="24">
        <f t="shared" si="72"/>
        <v>-1.5915972460561956</v>
      </c>
      <c r="AI186" s="24">
        <f t="shared" si="53"/>
        <v>-91.191804883664801</v>
      </c>
      <c r="AJ186" s="24">
        <f t="shared" si="73"/>
        <v>-9.592605262744879</v>
      </c>
      <c r="AL186" s="24" t="str">
        <f t="shared" si="74"/>
        <v>4.11630755447879E-07-0.000641584434044343i</v>
      </c>
      <c r="AM186" s="24" t="str">
        <f t="shared" si="75"/>
        <v>2.85471131392145+11.2776200589445i</v>
      </c>
      <c r="AN186" s="24" t="str">
        <f t="shared" si="76"/>
        <v>-2.43276989369754+0.614148059862055i</v>
      </c>
      <c r="AO186" s="24">
        <f t="shared" si="59"/>
        <v>2.509092902846259</v>
      </c>
      <c r="AP186" s="24">
        <f t="shared" si="60"/>
        <v>2.8943112568271583</v>
      </c>
      <c r="AQ186" s="24">
        <f t="shared" si="61"/>
        <v>165.83181961340105</v>
      </c>
      <c r="AR186" s="24">
        <f t="shared" si="62"/>
        <v>7.9903348400548015</v>
      </c>
      <c r="AS186" s="24">
        <f t="shared" si="77"/>
        <v>-1.6022704226900775</v>
      </c>
      <c r="AT186" s="24">
        <f t="shared" si="78"/>
        <v>74.640014729736251</v>
      </c>
    </row>
    <row r="187" spans="4:46">
      <c r="D187" s="13"/>
      <c r="R187" s="12"/>
      <c r="S187" s="12"/>
      <c r="T187" s="12"/>
      <c r="U187" s="12"/>
      <c r="V187" s="12"/>
      <c r="W187" s="12"/>
      <c r="X187" s="12"/>
      <c r="Y187" s="24">
        <v>185</v>
      </c>
      <c r="Z187" s="24">
        <f t="shared" si="54"/>
        <v>87446.207637003507</v>
      </c>
      <c r="AA187" s="24" t="str">
        <f t="shared" si="63"/>
        <v>549440.726993396i</v>
      </c>
      <c r="AB187" s="24">
        <f t="shared" si="55"/>
        <v>9.4210346008907155</v>
      </c>
      <c r="AD187" s="24" t="str">
        <f t="shared" si="56"/>
        <v>0.00437445550701995-0.0379234190695599i</v>
      </c>
      <c r="AE187" s="24" t="str">
        <f t="shared" si="57"/>
        <v>0.987529384645505-0.141155118423028i</v>
      </c>
      <c r="AF187" s="24" t="str">
        <f t="shared" si="71"/>
        <v>-0.00845629581281795-0.311575496926087i</v>
      </c>
      <c r="AG187" s="24">
        <f t="shared" si="58"/>
        <v>0.31169022959279924</v>
      </c>
      <c r="AH187" s="24">
        <f t="shared" si="72"/>
        <v>-1.5979301049681069</v>
      </c>
      <c r="AI187" s="24">
        <f t="shared" si="53"/>
        <v>-91.554650971569131</v>
      </c>
      <c r="AJ187" s="24">
        <f t="shared" si="73"/>
        <v>-10.125536222697908</v>
      </c>
      <c r="AL187" s="24" t="str">
        <f t="shared" si="74"/>
        <v>3.63985103464547E-07-0.00060331166985182i</v>
      </c>
      <c r="AM187" s="24" t="str">
        <f t="shared" si="75"/>
        <v>3.0902874823879+11.9518475350289i</v>
      </c>
      <c r="AN187" s="24" t="str">
        <f t="shared" si="76"/>
        <v>-2.4243970174883+0.625295490816763i</v>
      </c>
      <c r="AO187" s="24">
        <f t="shared" si="59"/>
        <v>2.5037362778938883</v>
      </c>
      <c r="AP187" s="24">
        <f t="shared" si="60"/>
        <v>2.8891758042974218</v>
      </c>
      <c r="AQ187" s="24">
        <f t="shared" si="61"/>
        <v>165.53757985755738</v>
      </c>
      <c r="AR187" s="24">
        <f t="shared" si="62"/>
        <v>7.9717716418285969</v>
      </c>
      <c r="AS187" s="24">
        <f t="shared" si="77"/>
        <v>-2.1537645808693116</v>
      </c>
      <c r="AT187" s="24">
        <f t="shared" si="78"/>
        <v>73.982928885988244</v>
      </c>
    </row>
    <row r="188" spans="4:46">
      <c r="D188" s="13"/>
      <c r="R188" s="12"/>
      <c r="S188" s="12"/>
      <c r="T188" s="12"/>
      <c r="U188" s="12"/>
      <c r="V188" s="12"/>
      <c r="W188" s="12"/>
      <c r="X188" s="12"/>
      <c r="Y188" s="24">
        <v>186</v>
      </c>
      <c r="Z188" s="24">
        <f t="shared" si="54"/>
        <v>92993.606974334747</v>
      </c>
      <c r="AA188" s="24" t="str">
        <f t="shared" si="63"/>
        <v>584296.065002773i</v>
      </c>
      <c r="AB188" s="24">
        <f t="shared" si="55"/>
        <v>9.4210346008907155</v>
      </c>
      <c r="AD188" s="24" t="str">
        <f t="shared" si="56"/>
        <v>0.00420747039620446-0.0356671333132748i</v>
      </c>
      <c r="AE188" s="24" t="str">
        <f t="shared" si="57"/>
        <v>0.985897461122521-0.150012950336099i</v>
      </c>
      <c r="AF188" s="24" t="str">
        <f t="shared" si="71"/>
        <v>-0.00984128201828389-0.292974451241322i</v>
      </c>
      <c r="AG188" s="24">
        <f t="shared" si="58"/>
        <v>0.29313969351133112</v>
      </c>
      <c r="AH188" s="24">
        <f t="shared" si="72"/>
        <v>-1.6043746235034853</v>
      </c>
      <c r="AI188" s="24">
        <f t="shared" si="53"/>
        <v>-91.92389468464016</v>
      </c>
      <c r="AJ188" s="24">
        <f t="shared" si="73"/>
        <v>-10.658507411118212</v>
      </c>
      <c r="AL188" s="24" t="str">
        <f t="shared" si="74"/>
        <v>3.21854363552841E-07-0.000567322007296218i</v>
      </c>
      <c r="AM188" s="24" t="str">
        <f t="shared" si="75"/>
        <v>3.35475787769305+12.660858925189i</v>
      </c>
      <c r="AN188" s="24" t="str">
        <f t="shared" si="76"/>
        <v>-2.41500096934694+0.63843867496793i</v>
      </c>
      <c r="AO188" s="24">
        <f t="shared" si="59"/>
        <v>2.4979658972134642</v>
      </c>
      <c r="AP188" s="24">
        <f t="shared" si="60"/>
        <v>2.8831415323909897</v>
      </c>
      <c r="AQ188" s="24">
        <f t="shared" si="61"/>
        <v>165.19184154488445</v>
      </c>
      <c r="AR188" s="24">
        <f t="shared" si="62"/>
        <v>7.9517300998727514</v>
      </c>
      <c r="AS188" s="24">
        <f t="shared" si="77"/>
        <v>-2.7067773112454603</v>
      </c>
      <c r="AT188" s="24">
        <f t="shared" si="78"/>
        <v>73.267946860244294</v>
      </c>
    </row>
    <row r="189" spans="4:46">
      <c r="D189" s="13"/>
      <c r="R189" s="12"/>
      <c r="S189" s="12"/>
      <c r="T189" s="12"/>
      <c r="U189" s="12"/>
      <c r="V189" s="12"/>
      <c r="W189" s="12"/>
      <c r="X189" s="12"/>
      <c r="Y189" s="24">
        <v>187</v>
      </c>
      <c r="Z189" s="24">
        <f t="shared" si="54"/>
        <v>98892.921394542427</v>
      </c>
      <c r="AA189" s="24" t="str">
        <f t="shared" si="63"/>
        <v>621362.550690255i</v>
      </c>
      <c r="AB189" s="24">
        <f t="shared" si="55"/>
        <v>9.4210346008907155</v>
      </c>
      <c r="AD189" s="24" t="str">
        <f t="shared" si="56"/>
        <v>0.00405976690229568-0.0335444368074848i</v>
      </c>
      <c r="AE189" s="24" t="str">
        <f t="shared" si="57"/>
        <v>0.984052090238972-0.159412876583611i</v>
      </c>
      <c r="AF189" s="24" t="str">
        <f t="shared" si="71"/>
        <v>-0.011068952906909-0.275470135428456i</v>
      </c>
      <c r="AG189" s="24">
        <f t="shared" si="58"/>
        <v>0.27569243230714052</v>
      </c>
      <c r="AH189" s="24">
        <f t="shared" si="72"/>
        <v>-1.6109567650809333</v>
      </c>
      <c r="AI189" s="24">
        <f t="shared" si="53"/>
        <v>-92.301023617185507</v>
      </c>
      <c r="AJ189" s="24">
        <f t="shared" si="73"/>
        <v>-11.191503100253586</v>
      </c>
      <c r="AL189" s="24" t="str">
        <f t="shared" si="74"/>
        <v>2.84600193378324E-07-0.000533479252062396i</v>
      </c>
      <c r="AM189" s="24" t="str">
        <f t="shared" si="75"/>
        <v>3.65139173247187+13.4053666080604i</v>
      </c>
      <c r="AN189" s="24" t="str">
        <f t="shared" si="76"/>
        <v>-2.40446556144763+0.653557439486208i</v>
      </c>
      <c r="AO189" s="24">
        <f t="shared" si="59"/>
        <v>2.4917046299462209</v>
      </c>
      <c r="AP189" s="24">
        <f t="shared" si="60"/>
        <v>2.8761947058282034</v>
      </c>
      <c r="AQ189" s="24">
        <f t="shared" si="61"/>
        <v>164.79381770182741</v>
      </c>
      <c r="AR189" s="24">
        <f t="shared" si="62"/>
        <v>7.929931183600786</v>
      </c>
      <c r="AS189" s="24">
        <f t="shared" si="77"/>
        <v>-3.2615719166527999</v>
      </c>
      <c r="AT189" s="24">
        <f t="shared" si="78"/>
        <v>72.492794084641901</v>
      </c>
    </row>
    <row r="190" spans="4:46">
      <c r="D190" s="13"/>
      <c r="R190" s="12"/>
      <c r="S190" s="12"/>
      <c r="T190" s="12"/>
      <c r="U190" s="12"/>
      <c r="V190" s="12"/>
      <c r="W190" s="12"/>
      <c r="X190" s="12"/>
      <c r="Y190" s="24">
        <v>188</v>
      </c>
      <c r="Z190" s="24">
        <f t="shared" si="54"/>
        <v>105166.47563360249</v>
      </c>
      <c r="AA190" s="24" t="str">
        <f t="shared" si="63"/>
        <v>660780.454508911i</v>
      </c>
      <c r="AB190" s="24">
        <f t="shared" si="55"/>
        <v>9.4210346008907155</v>
      </c>
      <c r="AD190" s="24" t="str">
        <f t="shared" si="56"/>
        <v>0.00392912336819576-0.0315475296077722i</v>
      </c>
      <c r="AE190" s="24" t="str">
        <f t="shared" si="57"/>
        <v>0.981965396144725-0.169385190165013i</v>
      </c>
      <c r="AF190" s="24" t="str">
        <f t="shared" si="71"/>
        <v>-0.0121577497647126-0.25899811192088i</v>
      </c>
      <c r="AG190" s="24">
        <f t="shared" si="58"/>
        <v>0.2592833061689897</v>
      </c>
      <c r="AH190" s="24">
        <f t="shared" si="72"/>
        <v>-1.6177033547726958</v>
      </c>
      <c r="AI190" s="24">
        <f t="shared" si="53"/>
        <v>-92.687574732629969</v>
      </c>
      <c r="AJ190" s="24">
        <f t="shared" si="73"/>
        <v>-11.724508883439018</v>
      </c>
      <c r="AL190" s="24" t="str">
        <f t="shared" si="74"/>
        <v>2.51658137635942E-07-0.0005016553341729i</v>
      </c>
      <c r="AM190" s="24" t="str">
        <f t="shared" si="75"/>
        <v>3.98375531868142+14.1858672200671i</v>
      </c>
      <c r="AN190" s="24" t="str">
        <f t="shared" si="76"/>
        <v>-2.39266409325743+0.670626669028666i</v>
      </c>
      <c r="AO190" s="24">
        <f t="shared" si="59"/>
        <v>2.4848705383532326</v>
      </c>
      <c r="AP190" s="24">
        <f t="shared" si="60"/>
        <v>2.8683201493619155</v>
      </c>
      <c r="AQ190" s="24">
        <f t="shared" si="61"/>
        <v>164.34263885077166</v>
      </c>
      <c r="AR190" s="24">
        <f t="shared" si="62"/>
        <v>7.9060753387034755</v>
      </c>
      <c r="AS190" s="24">
        <f t="shared" si="77"/>
        <v>-3.8184335447355426</v>
      </c>
      <c r="AT190" s="24">
        <f t="shared" si="78"/>
        <v>71.655064118141695</v>
      </c>
    </row>
    <row r="191" spans="4:46">
      <c r="D191" s="13"/>
      <c r="R191" s="12"/>
      <c r="S191" s="12"/>
      <c r="T191" s="12"/>
      <c r="U191" s="12"/>
      <c r="V191" s="12"/>
      <c r="W191" s="12"/>
      <c r="X191" s="12"/>
      <c r="Y191" s="24">
        <v>189</v>
      </c>
      <c r="Z191" s="24">
        <f t="shared" si="54"/>
        <v>111838.01066072512</v>
      </c>
      <c r="AA191" s="24" t="str">
        <f t="shared" si="63"/>
        <v>702698.945367662i</v>
      </c>
      <c r="AB191" s="24">
        <f t="shared" si="55"/>
        <v>9.4210346008907155</v>
      </c>
      <c r="AD191" s="24" t="str">
        <f t="shared" si="56"/>
        <v>0.00381357307904711-0.0296690486761448i</v>
      </c>
      <c r="AE191" s="24" t="str">
        <f t="shared" si="57"/>
        <v>0.97960587932723-0.179961248457937i</v>
      </c>
      <c r="AF191" s="24" t="str">
        <f t="shared" si="71"/>
        <v>-0.0131240317014354-0.243497505580871i</v>
      </c>
      <c r="AG191" s="24">
        <f t="shared" si="58"/>
        <v>0.2438509287089278</v>
      </c>
      <c r="AH191" s="24">
        <f t="shared" si="72"/>
        <v>-1.6246422393272053</v>
      </c>
      <c r="AI191" s="24">
        <f t="shared" si="53"/>
        <v>-93.08514353213188</v>
      </c>
      <c r="AJ191" s="24">
        <f t="shared" si="73"/>
        <v>-12.257511721079661</v>
      </c>
      <c r="AL191" s="24" t="str">
        <f t="shared" si="74"/>
        <v>2.22529075771636E-07-0.000471729823365501i</v>
      </c>
      <c r="AM191" s="24" t="str">
        <f t="shared" si="75"/>
        <v>4.35571934815537+15.0025886920296i</v>
      </c>
      <c r="AN191" s="24" t="str">
        <f t="shared" si="76"/>
        <v>-2.37945908615091+0.689614265177011i</v>
      </c>
      <c r="AO191" s="24">
        <f t="shared" si="59"/>
        <v>2.4773763092032977</v>
      </c>
      <c r="AP191" s="24">
        <f t="shared" si="60"/>
        <v>2.8595014958369198</v>
      </c>
      <c r="AQ191" s="24">
        <f t="shared" si="61"/>
        <v>163.83736722280125</v>
      </c>
      <c r="AR191" s="24">
        <f t="shared" si="62"/>
        <v>7.8798396036389038</v>
      </c>
      <c r="AS191" s="24">
        <f t="shared" si="77"/>
        <v>-4.3776721174407571</v>
      </c>
      <c r="AT191" s="24">
        <f t="shared" si="78"/>
        <v>70.752223690669368</v>
      </c>
    </row>
    <row r="192" spans="4:46">
      <c r="D192" s="13"/>
      <c r="R192" s="12"/>
      <c r="S192" s="12"/>
      <c r="T192" s="12"/>
      <c r="U192" s="12"/>
      <c r="V192" s="12"/>
      <c r="W192" s="12"/>
      <c r="X192" s="12"/>
      <c r="Y192" s="24">
        <v>190</v>
      </c>
      <c r="Z192" s="24">
        <f t="shared" si="54"/>
        <v>118932.77352114675</v>
      </c>
      <c r="AA192" s="24" t="str">
        <f t="shared" si="63"/>
        <v>747276.655130187i</v>
      </c>
      <c r="AB192" s="24">
        <f t="shared" si="55"/>
        <v>9.4210346008907155</v>
      </c>
      <c r="AD192" s="24" t="str">
        <f t="shared" si="56"/>
        <v>0.00371137523378464-0.0279020465722937i</v>
      </c>
      <c r="AE192" s="24" t="str">
        <f t="shared" si="57"/>
        <v>0.976937952542075-0.191173357713266i</v>
      </c>
      <c r="AF192" s="24" t="str">
        <f t="shared" si="71"/>
        <v>-0.0139823151969567-0.228910823058498i</v>
      </c>
      <c r="AG192" s="24">
        <f t="shared" si="58"/>
        <v>0.22933745889319093</v>
      </c>
      <c r="AH192" s="24">
        <f t="shared" si="72"/>
        <v>-1.6318024622168898</v>
      </c>
      <c r="AI192" s="24">
        <f t="shared" si="53"/>
        <v>-93.495394084083756</v>
      </c>
      <c r="AJ192" s="24">
        <f t="shared" si="73"/>
        <v>-12.790500077494189</v>
      </c>
      <c r="AL192" s="24" t="str">
        <f t="shared" si="74"/>
        <v>1.96771659609329E-07-0.000443589473376277i</v>
      </c>
      <c r="AM192" s="24" t="str">
        <f t="shared" si="75"/>
        <v>4.77146056386397+15.8554301400925i</v>
      </c>
      <c r="AN192" s="24" t="str">
        <f t="shared" si="76"/>
        <v>-2.36470222443719+0.71047886203043i</v>
      </c>
      <c r="AO192" s="24">
        <f t="shared" si="59"/>
        <v>2.469128758013694</v>
      </c>
      <c r="AP192" s="24">
        <f t="shared" si="60"/>
        <v>2.8497214842087715</v>
      </c>
      <c r="AQ192" s="24">
        <f t="shared" si="61"/>
        <v>163.27701383291949</v>
      </c>
      <c r="AR192" s="24">
        <f t="shared" si="62"/>
        <v>7.8508747547894551</v>
      </c>
      <c r="AS192" s="24">
        <f t="shared" si="77"/>
        <v>-4.9396253227047335</v>
      </c>
      <c r="AT192" s="24">
        <f t="shared" si="78"/>
        <v>69.781619748835737</v>
      </c>
    </row>
    <row r="193" spans="4:46">
      <c r="D193" s="13"/>
      <c r="R193" s="12"/>
      <c r="S193" s="12"/>
      <c r="T193" s="12"/>
      <c r="U193" s="12"/>
      <c r="V193" s="12"/>
      <c r="W193" s="12"/>
      <c r="X193" s="12"/>
      <c r="Y193" s="24">
        <v>191</v>
      </c>
      <c r="Z193" s="24">
        <f t="shared" si="54"/>
        <v>126477.61287835392</v>
      </c>
      <c r="AA193" s="24" t="str">
        <f t="shared" si="63"/>
        <v>794682.278924421i</v>
      </c>
      <c r="AB193" s="24">
        <f t="shared" si="55"/>
        <v>9.4210346008907155</v>
      </c>
      <c r="AD193" s="24" t="str">
        <f t="shared" si="56"/>
        <v>0.00362098917231538-0.0262399706225729i</v>
      </c>
      <c r="AE193" s="24" t="str">
        <f t="shared" si="57"/>
        <v>0.973921420262096-0.203054610068714i</v>
      </c>
      <c r="AF193" s="24" t="str">
        <f t="shared" si="71"/>
        <v>-0.0147454865632437-0.215183775184718i</v>
      </c>
      <c r="AG193" s="24">
        <f t="shared" si="58"/>
        <v>0.21568840134957207</v>
      </c>
      <c r="AH193" s="24">
        <f t="shared" si="72"/>
        <v>-1.6392144558781783</v>
      </c>
      <c r="AI193" s="24">
        <f t="shared" si="53"/>
        <v>-93.920070038653321</v>
      </c>
      <c r="AJ193" s="24">
        <f t="shared" si="73"/>
        <v>-13.32346416937372</v>
      </c>
      <c r="AL193" s="24" t="str">
        <f t="shared" si="74"/>
        <v>1.73995626305065E-07-0.000417127793404596i</v>
      </c>
      <c r="AM193" s="24" t="str">
        <f t="shared" si="75"/>
        <v>5.23545562627319+16.7438945513102i</v>
      </c>
      <c r="AN193" s="24" t="str">
        <f t="shared" si="76"/>
        <v>-2.34823457000795+0.733167295261387i</v>
      </c>
      <c r="AO193" s="24">
        <f t="shared" si="59"/>
        <v>2.4600284304498024</v>
      </c>
      <c r="AP193" s="24">
        <f t="shared" si="60"/>
        <v>2.8389623133221531</v>
      </c>
      <c r="AQ193" s="24">
        <f t="shared" si="61"/>
        <v>162.66055875005623</v>
      </c>
      <c r="AR193" s="24">
        <f t="shared" si="62"/>
        <v>7.8188025251254603</v>
      </c>
      <c r="AS193" s="24">
        <f t="shared" si="77"/>
        <v>-5.5046616442482597</v>
      </c>
      <c r="AT193" s="24">
        <f t="shared" si="78"/>
        <v>68.740488711402904</v>
      </c>
    </row>
    <row r="194" spans="4:46">
      <c r="D194" s="13"/>
      <c r="R194" s="12"/>
      <c r="S194" s="12"/>
      <c r="T194" s="12"/>
      <c r="U194" s="12"/>
      <c r="V194" s="12"/>
      <c r="W194" s="12"/>
      <c r="X194" s="12"/>
      <c r="Y194" s="24">
        <v>192</v>
      </c>
      <c r="Z194" s="24">
        <f t="shared" si="54"/>
        <v>134501.0806172993</v>
      </c>
      <c r="AA194" s="24" t="str">
        <f t="shared" si="63"/>
        <v>845095.213534392i</v>
      </c>
      <c r="AB194" s="24">
        <f t="shared" si="55"/>
        <v>9.4210346008907155</v>
      </c>
      <c r="AD194" s="24" t="str">
        <f t="shared" si="56"/>
        <v>0.0035410515041076-0.0246766426698676i</v>
      </c>
      <c r="AE194" s="24" t="str">
        <f t="shared" si="57"/>
        <v>0.970510896044853-0.215638660978554i</v>
      </c>
      <c r="AF194" s="24" t="str">
        <f t="shared" si="71"/>
        <v>-0.0154249900958645-0.202265103109107i</v>
      </c>
      <c r="AG194" s="24">
        <f t="shared" si="58"/>
        <v>0.20285241496022471</v>
      </c>
      <c r="AH194" s="24">
        <f t="shared" si="72"/>
        <v>-1.646910253500703</v>
      </c>
      <c r="AI194" s="24">
        <f t="shared" ref="AI194:AI202" si="79">AH194/(PI())*180</f>
        <v>-94.361006762410781</v>
      </c>
      <c r="AJ194" s="24">
        <f t="shared" si="73"/>
        <v>-13.856396352966174</v>
      </c>
      <c r="AL194" s="24" t="str">
        <f t="shared" si="74"/>
        <v>1.5385588531187E-07-0.000392244645139022i</v>
      </c>
      <c r="AM194" s="24" t="str">
        <f t="shared" si="75"/>
        <v>5.75246509520793+17.6670145451481i</v>
      </c>
      <c r="AN194" s="24" t="str">
        <f t="shared" si="76"/>
        <v>-2.32988712860197+0.757611834070987i</v>
      </c>
      <c r="AO194" s="24">
        <f t="shared" si="59"/>
        <v>2.4499693310630515</v>
      </c>
      <c r="AP194" s="24">
        <f t="shared" si="60"/>
        <v>2.8272060572598448</v>
      </c>
      <c r="AQ194" s="24">
        <f t="shared" si="61"/>
        <v>161.98697489481088</v>
      </c>
      <c r="AR194" s="24">
        <f t="shared" si="62"/>
        <v>7.7832129572216804</v>
      </c>
      <c r="AS194" s="24">
        <f t="shared" si="77"/>
        <v>-6.0731833957444934</v>
      </c>
      <c r="AT194" s="24">
        <f t="shared" si="78"/>
        <v>67.625968132400104</v>
      </c>
    </row>
    <row r="195" spans="4:46">
      <c r="D195" s="13"/>
      <c r="R195" s="12"/>
      <c r="S195" s="12"/>
      <c r="T195" s="12"/>
      <c r="U195" s="12"/>
      <c r="V195" s="12"/>
      <c r="W195" s="12"/>
      <c r="X195" s="12"/>
      <c r="Y195" s="24">
        <v>193</v>
      </c>
      <c r="Z195" s="24">
        <f t="shared" ref="Z195:Z202" si="80">10^(LOG($G$6/$G$5,10)*Y195/200)</f>
        <v>143033.53989310883</v>
      </c>
      <c r="AA195" s="24" t="str">
        <f t="shared" si="63"/>
        <v>898706.236290267i</v>
      </c>
      <c r="AB195" s="24">
        <f t="shared" ref="AB195:AB202" si="81">$B$23/$G$3</f>
        <v>9.4210346008907155</v>
      </c>
      <c r="AD195" s="24" t="str">
        <f t="shared" ref="AD195:AD202" si="82">IMDIV(IMSUM(1,IMDIV(AA195,$G$12)),IMSUM(1,IMDIV(AA195,$G$14)))</f>
        <v>0.00347035582008558-0.0232062394797183i</v>
      </c>
      <c r="AE195" s="24" t="str">
        <f t="shared" ref="AE195:AE202" si="83">IMDIV(1,IMSUM(1,IMDIV(AA195,IMPRODUCT($G$10*$G$11)),IMDIV(IMPRODUCT(AA195,AA195),$G$10*$G$10)))</f>
        <v>0.96665515224063-0.228959432084299i</v>
      </c>
      <c r="AF195" s="24" t="str">
        <f t="shared" si="71"/>
        <v>-0.0160309943469157-0.190106408650414i</v>
      </c>
      <c r="AG195" s="24">
        <f t="shared" ref="AG195:AG202" si="84">IMABS(AF195)</f>
        <v>0.19078112954301599</v>
      </c>
      <c r="AH195" s="24">
        <f t="shared" si="72"/>
        <v>-1.6549237228714184</v>
      </c>
      <c r="AI195" s="24">
        <f t="shared" si="79"/>
        <v>-94.820144736610132</v>
      </c>
      <c r="AJ195" s="24">
        <f t="shared" si="73"/>
        <v>-14.389291684947953</v>
      </c>
      <c r="AL195" s="24" t="str">
        <f t="shared" si="74"/>
        <v>1.3604728976586E-07-0.000368845863819828i</v>
      </c>
      <c r="AM195" s="24" t="str">
        <f t="shared" si="75"/>
        <v>6.32750502482855+18.6232719570874i</v>
      </c>
      <c r="AN195" s="24" t="str">
        <f t="shared" si="76"/>
        <v>-2.30948185571819+0.783727202006117i</v>
      </c>
      <c r="AO195" s="24">
        <f t="shared" ref="AO195:AO202" si="85">IMABS(AN195)</f>
        <v>2.4388388157186345</v>
      </c>
      <c r="AP195" s="24">
        <f t="shared" ref="AP195:AP202" si="86">IMARGUMENT(AN195)</f>
        <v>2.8144351477176444</v>
      </c>
      <c r="AQ195" s="24">
        <f t="shared" ref="AQ195:AQ202" si="87">AP195/(PI())*180</f>
        <v>161.25525567749943</v>
      </c>
      <c r="AR195" s="24">
        <f t="shared" ref="AR195:AR202" si="88">20*LOG(AO195,10)</f>
        <v>7.7436619697257489</v>
      </c>
      <c r="AS195" s="24">
        <f t="shared" si="77"/>
        <v>-6.6456297152222037</v>
      </c>
      <c r="AT195" s="24">
        <f t="shared" si="78"/>
        <v>66.435110940889302</v>
      </c>
    </row>
    <row r="196" spans="4:46">
      <c r="D196" s="13"/>
      <c r="R196" s="12"/>
      <c r="S196" s="12"/>
      <c r="T196" s="12"/>
      <c r="U196" s="12"/>
      <c r="V196" s="12"/>
      <c r="W196" s="12"/>
      <c r="X196" s="12"/>
      <c r="Y196" s="24">
        <v>194</v>
      </c>
      <c r="Z196" s="24">
        <f t="shared" si="80"/>
        <v>152107.28003416685</v>
      </c>
      <c r="AA196" s="24" t="str">
        <f t="shared" ref="AA196:AA202" si="89">IMPRODUCT(COMPLEX(0,1),2*PI()*Z196)</f>
        <v>955718.227025728i</v>
      </c>
      <c r="AB196" s="24">
        <f t="shared" si="81"/>
        <v>9.4210346008907155</v>
      </c>
      <c r="AD196" s="24" t="str">
        <f t="shared" si="82"/>
        <v>0.00340783470270959-0.0218232738554205i</v>
      </c>
      <c r="AE196" s="24" t="str">
        <f t="shared" si="83"/>
        <v>0.962296396803517-0.243050721017264i</v>
      </c>
      <c r="AF196" s="24" t="str">
        <f t="shared" si="71"/>
        <v>-0.016572538622497-0.178661989130903i</v>
      </c>
      <c r="AG196" s="24">
        <f t="shared" si="84"/>
        <v>0.17942897033813981</v>
      </c>
      <c r="AH196" s="24">
        <f t="shared" ref="AH196:AH202" si="90">IMARGUMENT(AF196)</f>
        <v>-1.6632908248541978</v>
      </c>
      <c r="AI196" s="24">
        <f t="shared" si="79"/>
        <v>-95.299544366978935</v>
      </c>
      <c r="AJ196" s="24">
        <f t="shared" ref="AJ196:AJ202" si="91">20*LOG(AG196,10)</f>
        <v>-14.922148701621108</v>
      </c>
      <c r="AL196" s="24" t="str">
        <f t="shared" ref="AL196:AL202" si="92">IMDIV(1,IMSUM(1,IMDIV(AA196,wp2e)))</f>
        <v>1.20300013073696E-07-0.000346842901904598i</v>
      </c>
      <c r="AM196" s="24" t="str">
        <f t="shared" ref="AM196:AM202" si="93">IMDIV(IMSUM(1,IMDIV(AA196,wz2e)),IMSUM(1,IMDIV(AA196,wp1e)))</f>
        <v>6.96580346258145+19.6105125975607i</v>
      </c>
      <c r="AN196" s="24" t="str">
        <f t="shared" ref="AN196:AN202" si="94">IMPRODUCT($AK$2,AL196,AM196)</f>
        <v>-2.28683319825684+0.811407434165197i</v>
      </c>
      <c r="AO196" s="24">
        <f t="shared" si="85"/>
        <v>2.4265176902030112</v>
      </c>
      <c r="AP196" s="24">
        <f t="shared" si="86"/>
        <v>2.8006329280239042</v>
      </c>
      <c r="AQ196" s="24">
        <f t="shared" si="87"/>
        <v>160.46444674113579</v>
      </c>
      <c r="AR196" s="24">
        <f t="shared" si="88"/>
        <v>7.6996692365747883</v>
      </c>
      <c r="AS196" s="24">
        <f t="shared" ref="AS196:AS202" si="95">AR196+AJ196</f>
        <v>-7.2224794650463195</v>
      </c>
      <c r="AT196" s="24">
        <f t="shared" ref="AT196:AT202" si="96">AQ196+AI196</f>
        <v>65.164902374156853</v>
      </c>
    </row>
    <row r="197" spans="4:46">
      <c r="D197" s="13"/>
      <c r="R197" s="12"/>
      <c r="S197" s="12"/>
      <c r="T197" s="12"/>
      <c r="U197" s="12"/>
      <c r="V197" s="12"/>
      <c r="W197" s="12"/>
      <c r="X197" s="12"/>
      <c r="Y197" s="24">
        <v>195</v>
      </c>
      <c r="Z197" s="24">
        <f t="shared" si="80"/>
        <v>161756.63873440344</v>
      </c>
      <c r="AA197" s="24" t="str">
        <f t="shared" si="89"/>
        <v>1016346.93583476i</v>
      </c>
      <c r="AB197" s="24">
        <f t="shared" si="81"/>
        <v>9.4210346008907155</v>
      </c>
      <c r="AD197" s="24" t="str">
        <f t="shared" si="82"/>
        <v>0.00335254377911481-0.0205225764964887i</v>
      </c>
      <c r="AE197" s="24" t="str">
        <f t="shared" si="83"/>
        <v>0.957369472796928-0.257945695293632i</v>
      </c>
      <c r="AF197" s="24" t="str">
        <f t="shared" si="71"/>
        <v>-0.0170576614886565-0.167888676808774i</v>
      </c>
      <c r="AG197" s="24">
        <f t="shared" si="84"/>
        <v>0.16875298994703047</v>
      </c>
      <c r="AH197" s="24">
        <f t="shared" si="90"/>
        <v>-1.6720498990394659</v>
      </c>
      <c r="AI197" s="24">
        <f t="shared" si="79"/>
        <v>-95.801402350236799</v>
      </c>
      <c r="AJ197" s="24">
        <f t="shared" si="91"/>
        <v>-15.454970472932176</v>
      </c>
      <c r="AL197" s="24" t="str">
        <f t="shared" si="92"/>
        <v>1.06375460650922E-07-0.000326152493988906i</v>
      </c>
      <c r="AM197" s="24" t="str">
        <f t="shared" si="93"/>
        <v>7.67273901938507+20.6258583004478i</v>
      </c>
      <c r="AN197" s="24" t="str">
        <f t="shared" si="94"/>
        <v>-2.26175027235548+0.840522645344306i</v>
      </c>
      <c r="AO197" s="24">
        <f t="shared" si="85"/>
        <v>2.4128805631105483</v>
      </c>
      <c r="AP197" s="24">
        <f t="shared" si="86"/>
        <v>2.7857842819769107</v>
      </c>
      <c r="AQ197" s="24">
        <f t="shared" si="87"/>
        <v>159.61368199115944</v>
      </c>
      <c r="AR197" s="24">
        <f t="shared" si="88"/>
        <v>7.6507164997936385</v>
      </c>
      <c r="AS197" s="24">
        <f t="shared" si="95"/>
        <v>-7.8042539731385379</v>
      </c>
      <c r="AT197" s="24">
        <f t="shared" si="96"/>
        <v>63.81227964092264</v>
      </c>
    </row>
    <row r="198" spans="4:46">
      <c r="D198" s="13"/>
      <c r="R198" s="12"/>
      <c r="S198" s="12"/>
      <c r="T198" s="12"/>
      <c r="U198" s="12"/>
      <c r="V198" s="12"/>
      <c r="W198" s="12"/>
      <c r="X198" s="12"/>
      <c r="Y198" s="24">
        <v>196</v>
      </c>
      <c r="Z198" s="24">
        <f t="shared" si="80"/>
        <v>172018.13199719929</v>
      </c>
      <c r="AA198" s="24" t="str">
        <f t="shared" si="89"/>
        <v>1080821.79953328i</v>
      </c>
      <c r="AB198" s="24">
        <f t="shared" si="81"/>
        <v>9.4210346008907155</v>
      </c>
      <c r="AD198" s="24" t="str">
        <f t="shared" si="82"/>
        <v>0.00330364758935483-0.0192992786201108i</v>
      </c>
      <c r="AE198" s="24" t="str">
        <f t="shared" si="83"/>
        <v>0.951800977744178-0.273676242185749i</v>
      </c>
      <c r="AF198" s="24" t="str">
        <f t="shared" si="71"/>
        <v>-0.0174935127553677-0.157745682904387i</v>
      </c>
      <c r="AG198" s="24">
        <f t="shared" si="84"/>
        <v>0.15871270731574594</v>
      </c>
      <c r="AH198" s="24">
        <f t="shared" si="90"/>
        <v>-1.6812419788650748</v>
      </c>
      <c r="AI198" s="24">
        <f t="shared" si="79"/>
        <v>-96.328069729191526</v>
      </c>
      <c r="AJ198" s="24">
        <f t="shared" si="91"/>
        <v>-15.987766002247126</v>
      </c>
      <c r="AL198" s="24" t="str">
        <f t="shared" si="92"/>
        <v>9.40626548687553E-08-0.000306696341714361i</v>
      </c>
      <c r="AM198" s="24" t="str">
        <f t="shared" si="93"/>
        <v>8.45375871790576+21.6656192907243i</v>
      </c>
      <c r="AN198" s="24" t="str">
        <f t="shared" si="94"/>
        <v>-2.23403977648493+0.870915816174341i</v>
      </c>
      <c r="AO198" s="24">
        <f t="shared" si="85"/>
        <v>2.3977965054982153</v>
      </c>
      <c r="AP198" s="24">
        <f t="shared" si="86"/>
        <v>2.7698763384852114</v>
      </c>
      <c r="AQ198" s="24">
        <f t="shared" si="87"/>
        <v>158.70222396835246</v>
      </c>
      <c r="AR198" s="24">
        <f t="shared" si="88"/>
        <v>7.5962464585822387</v>
      </c>
      <c r="AS198" s="24">
        <f t="shared" si="95"/>
        <v>-8.3915195436648879</v>
      </c>
      <c r="AT198" s="24">
        <f t="shared" si="96"/>
        <v>62.37415423916093</v>
      </c>
    </row>
    <row r="199" spans="4:46">
      <c r="D199" s="13"/>
      <c r="R199" s="12"/>
      <c r="S199" s="12"/>
      <c r="T199" s="12"/>
      <c r="U199" s="12"/>
      <c r="V199" s="12"/>
      <c r="W199" s="12"/>
      <c r="X199" s="12"/>
      <c r="Y199" s="24">
        <v>197</v>
      </c>
      <c r="Z199" s="24">
        <f t="shared" si="80"/>
        <v>182930.59232265301</v>
      </c>
      <c r="AA199" s="24" t="str">
        <f t="shared" si="89"/>
        <v>1149386.80991535i</v>
      </c>
      <c r="AB199" s="24">
        <f t="shared" si="81"/>
        <v>9.4210346008907155</v>
      </c>
      <c r="AD199" s="24" t="str">
        <f t="shared" si="82"/>
        <v>0.00326040706633045-0.0181487953534281i</v>
      </c>
      <c r="AE199" s="24" t="str">
        <f t="shared" si="83"/>
        <v>0.945508302606008-0.29027214007295i</v>
      </c>
      <c r="AF199" s="24" t="str">
        <f t="shared" si="71"/>
        <v>-0.0178864500934656-0.148194446135902i</v>
      </c>
      <c r="AG199" s="24">
        <f t="shared" si="84"/>
        <v>0.14926995331436529</v>
      </c>
      <c r="AH199" s="24">
        <f t="shared" si="90"/>
        <v>-1.6909111379965569</v>
      </c>
      <c r="AI199" s="24">
        <f t="shared" si="79"/>
        <v>-96.882071738865847</v>
      </c>
      <c r="AJ199" s="24">
        <f t="shared" si="91"/>
        <v>-16.520552060237087</v>
      </c>
      <c r="AL199" s="24" t="str">
        <f t="shared" si="92"/>
        <v>8.31750384365748E-08-0.000288400817471948i</v>
      </c>
      <c r="AM199" s="24" t="str">
        <f t="shared" si="93"/>
        <v>9.31427260045699+22.7252109526664i</v>
      </c>
      <c r="AN199" s="24" t="str">
        <f t="shared" si="94"/>
        <v>-2.20350972912888+0.902399741637778i</v>
      </c>
      <c r="AO199" s="24">
        <f t="shared" si="85"/>
        <v>2.3811300720610706</v>
      </c>
      <c r="AP199" s="24">
        <f t="shared" si="86"/>
        <v>2.7528992499383214</v>
      </c>
      <c r="AQ199" s="24">
        <f t="shared" si="87"/>
        <v>157.72950844619578</v>
      </c>
      <c r="AR199" s="24">
        <f t="shared" si="88"/>
        <v>7.5356623981054884</v>
      </c>
      <c r="AS199" s="24">
        <f t="shared" si="95"/>
        <v>-8.9848896621315983</v>
      </c>
      <c r="AT199" s="24">
        <f t="shared" si="96"/>
        <v>60.847436707329933</v>
      </c>
    </row>
    <row r="200" spans="4:46">
      <c r="D200" s="13"/>
      <c r="R200" s="12"/>
      <c r="S200" s="12"/>
      <c r="T200" s="12"/>
      <c r="U200" s="12"/>
      <c r="V200" s="12"/>
      <c r="W200" s="12"/>
      <c r="X200" s="12"/>
      <c r="Y200" s="24">
        <v>198</v>
      </c>
      <c r="Z200" s="24">
        <f t="shared" si="80"/>
        <v>194535.31566115122</v>
      </c>
      <c r="AA200" s="24" t="str">
        <f t="shared" si="89"/>
        <v>1222301.43708969i</v>
      </c>
      <c r="AB200" s="24">
        <f t="shared" si="81"/>
        <v>9.4210346008907155</v>
      </c>
      <c r="AD200" s="24" t="str">
        <f t="shared" si="82"/>
        <v>0.003222168446082-0.0170668098951349i</v>
      </c>
      <c r="AE200" s="24" t="str">
        <f t="shared" si="83"/>
        <v>0.938398594345942-0.307760009144551i</v>
      </c>
      <c r="AF200" s="24" t="str">
        <f t="shared" si="71"/>
        <v>-0.0182421211191932-0.139198485641681i</v>
      </c>
      <c r="AG200" s="24">
        <f t="shared" si="84"/>
        <v>0.14038872243832334</v>
      </c>
      <c r="AH200" s="24">
        <f t="shared" si="90"/>
        <v>-1.7011048688354355</v>
      </c>
      <c r="AI200" s="24">
        <f t="shared" si="79"/>
        <v>-97.466129493425939</v>
      </c>
      <c r="AJ200" s="24">
        <f t="shared" si="91"/>
        <v>-17.053355562004903</v>
      </c>
      <c r="AL200" s="24" t="str">
        <f t="shared" si="92"/>
        <v>7.35476477871053E-08-0.000271196685779618i</v>
      </c>
      <c r="AM200" s="24" t="str">
        <f t="shared" si="93"/>
        <v>10.2595231677311+23.7990802242296i</v>
      </c>
      <c r="AN200" s="24" t="str">
        <f t="shared" si="94"/>
        <v>-2.16997409945382+0.934754326967803i</v>
      </c>
      <c r="AO200" s="24">
        <f t="shared" si="85"/>
        <v>2.362742737600827</v>
      </c>
      <c r="AP200" s="24">
        <f t="shared" si="86"/>
        <v>2.7348470382069996</v>
      </c>
      <c r="AQ200" s="24">
        <f t="shared" si="87"/>
        <v>156.69519290311447</v>
      </c>
      <c r="AR200" s="24">
        <f t="shared" si="88"/>
        <v>7.4683287388449351</v>
      </c>
      <c r="AS200" s="24">
        <f t="shared" si="95"/>
        <v>-9.5850268231599678</v>
      </c>
      <c r="AT200" s="24">
        <f t="shared" si="96"/>
        <v>59.229063409688536</v>
      </c>
    </row>
    <row r="201" spans="4:46">
      <c r="D201" s="13"/>
      <c r="R201" s="12"/>
      <c r="S201" s="12"/>
      <c r="T201" s="12"/>
      <c r="U201" s="12"/>
      <c r="V201" s="12"/>
      <c r="W201" s="12"/>
      <c r="X201" s="12"/>
      <c r="Y201" s="24">
        <v>199</v>
      </c>
      <c r="Z201" s="24">
        <f t="shared" si="80"/>
        <v>206876.21768935499</v>
      </c>
      <c r="AA201" s="24" t="str">
        <f t="shared" si="89"/>
        <v>1299841.61139064i</v>
      </c>
      <c r="AB201" s="24">
        <f t="shared" si="81"/>
        <v>9.4210346008907155</v>
      </c>
      <c r="AD201" s="24" t="str">
        <f t="shared" si="82"/>
        <v>0.00318835344697531-0.0160492584375716i</v>
      </c>
      <c r="AE201" s="24" t="str">
        <f t="shared" si="83"/>
        <v>0.930367652425984-0.326161990341206i</v>
      </c>
      <c r="AF201" s="24" t="str">
        <f t="shared" si="71"/>
        <v>-0.0185655314500871-0.130723258177475i</v>
      </c>
      <c r="AG201" s="24">
        <f t="shared" si="84"/>
        <v>0.13203503014942267</v>
      </c>
      <c r="AH201" s="24">
        <f t="shared" si="90"/>
        <v>-1.7118744925283116</v>
      </c>
      <c r="AI201" s="24">
        <f t="shared" si="79"/>
        <v>-98.083183477971829</v>
      </c>
      <c r="AJ201" s="24">
        <f t="shared" si="91"/>
        <v>-17.586216620991173</v>
      </c>
      <c r="AL201" s="24" t="str">
        <f t="shared" si="92"/>
        <v>6.50346136372772E-08-0.000255018841279965i</v>
      </c>
      <c r="AM201" s="24" t="str">
        <f t="shared" si="93"/>
        <v>11.294428704431+24.880648001524i</v>
      </c>
      <c r="AN201" s="24" t="str">
        <f t="shared" si="94"/>
        <v>-2.13325836444076+0.967724457045423i</v>
      </c>
      <c r="AO201" s="24">
        <f t="shared" si="85"/>
        <v>2.3424947970529888</v>
      </c>
      <c r="AP201" s="24">
        <f t="shared" si="86"/>
        <v>2.715718497125605</v>
      </c>
      <c r="AQ201" s="24">
        <f t="shared" si="87"/>
        <v>155.59920823090795</v>
      </c>
      <c r="AR201" s="24">
        <f t="shared" si="88"/>
        <v>7.3935726988702886</v>
      </c>
      <c r="AS201" s="24">
        <f t="shared" si="95"/>
        <v>-10.192643922120885</v>
      </c>
      <c r="AT201" s="24">
        <f t="shared" si="96"/>
        <v>57.516024752936119</v>
      </c>
    </row>
    <row r="202" spans="4:46">
      <c r="D202" s="13"/>
      <c r="R202" s="12"/>
      <c r="S202" s="12"/>
      <c r="T202" s="12"/>
      <c r="U202" s="12"/>
      <c r="V202" s="12"/>
      <c r="W202" s="12"/>
      <c r="X202" s="12"/>
      <c r="Y202" s="24">
        <v>200</v>
      </c>
      <c r="Z202" s="24">
        <f t="shared" si="80"/>
        <v>219999.99999999985</v>
      </c>
      <c r="AA202" s="24" t="str">
        <f t="shared" si="89"/>
        <v>1382300.76757951i</v>
      </c>
      <c r="AB202" s="24">
        <f t="shared" si="81"/>
        <v>9.4210346008907155</v>
      </c>
      <c r="AD202" s="24" t="str">
        <f t="shared" si="82"/>
        <v>0.00315845057411223-0.015092315834828i</v>
      </c>
      <c r="AE202" s="24" t="str">
        <f t="shared" si="83"/>
        <v>0.92129877904832-0.345494091067773i</v>
      </c>
      <c r="AF202" s="24" t="str">
        <f t="shared" si="71"/>
        <v>-0.0188610988904266-0.122736019547857i</v>
      </c>
      <c r="AG202" s="24">
        <f t="shared" si="84"/>
        <v>0.12417677538817953</v>
      </c>
      <c r="AH202" s="24">
        <f t="shared" si="90"/>
        <v>-1.7232755975515053</v>
      </c>
      <c r="AI202" s="24">
        <f t="shared" si="79"/>
        <v>-98.736418677586244</v>
      </c>
      <c r="AJ202" s="24">
        <f t="shared" si="91"/>
        <v>-18.119192441307053</v>
      </c>
      <c r="AL202" s="24" t="str">
        <f t="shared" si="92"/>
        <v>5.75069508548418E-08-0.000239806062366639i</v>
      </c>
      <c r="AM202" s="24" t="str">
        <f t="shared" si="93"/>
        <v>12.4234009957871+25.9622749904252i</v>
      </c>
      <c r="AN202" s="24" t="str">
        <f t="shared" si="94"/>
        <v>-2.09320597458764+1.00101870278993i</v>
      </c>
      <c r="AO202" s="24">
        <f t="shared" si="85"/>
        <v>2.3202477659475567</v>
      </c>
      <c r="AP202" s="24">
        <f t="shared" si="86"/>
        <v>2.6955181342814027</v>
      </c>
      <c r="AQ202" s="24">
        <f t="shared" si="87"/>
        <v>154.44181269530227</v>
      </c>
      <c r="AR202" s="24">
        <f t="shared" si="88"/>
        <v>7.31068726366669</v>
      </c>
      <c r="AS202" s="24">
        <f t="shared" si="95"/>
        <v>-10.808505177640363</v>
      </c>
      <c r="AT202" s="24">
        <f t="shared" si="96"/>
        <v>55.705394017716031</v>
      </c>
    </row>
    <row r="203" spans="4:46">
      <c r="D203" s="13"/>
      <c r="R203" s="12"/>
      <c r="S203" s="12"/>
      <c r="T203" s="12"/>
      <c r="U203" s="12"/>
      <c r="V203" s="12"/>
      <c r="W203" s="12"/>
      <c r="X203" s="12"/>
    </row>
    <row r="204" spans="4:46">
      <c r="D204" s="13"/>
    </row>
    <row r="205" spans="4:46">
      <c r="D205" s="13"/>
    </row>
    <row r="206" spans="4:46">
      <c r="D206" s="13"/>
    </row>
    <row r="207" spans="4:46">
      <c r="D207" s="13"/>
    </row>
    <row r="208" spans="4:46">
      <c r="D208" s="13"/>
    </row>
    <row r="209" spans="4:4">
      <c r="D209" s="13"/>
    </row>
    <row r="210" spans="4:4">
      <c r="D210" s="13"/>
    </row>
    <row r="211" spans="4:4">
      <c r="D211" s="13"/>
    </row>
    <row r="212" spans="4:4">
      <c r="D212" s="13"/>
    </row>
    <row r="213" spans="4:4">
      <c r="D213" s="13"/>
    </row>
    <row r="214" spans="4:4">
      <c r="D214" s="13"/>
    </row>
  </sheetData>
  <sheetProtection password="F725" sheet="1" objects="1" scenarios="1" selectLockedCells="1"/>
  <mergeCells count="2">
    <mergeCell ref="A49:D49"/>
    <mergeCell ref="A26:D26"/>
  </mergeCells>
  <conditionalFormatting sqref="E5">
    <cfRule type="notContainsBlanks" dxfId="0" priority="1">
      <formula>LEN(TRIM(E5))&gt;0</formula>
    </cfRule>
  </conditionalFormatting>
  <pageMargins left="0.7" right="0.7" top="0.75" bottom="0.75" header="0.3" footer="0.3"/>
  <pageSetup orientation="portrait" r:id="rId1"/>
  <ignoredErrors>
    <ignoredError sqref="B17:B18 B20 B23 B29 B37:B3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49"/>
  <sheetViews>
    <sheetView topLeftCell="A15" zoomScale="80" zoomScaleNormal="80" workbookViewId="0">
      <selection activeCell="H11" sqref="H11"/>
    </sheetView>
  </sheetViews>
  <sheetFormatPr defaultRowHeight="15"/>
  <cols>
    <col min="1" max="1" width="2.85546875" style="79" customWidth="1"/>
    <col min="2" max="2" width="12.85546875" style="79" customWidth="1"/>
    <col min="3" max="3" width="18" style="79" customWidth="1"/>
    <col min="4" max="4" width="9.85546875" style="79" customWidth="1"/>
    <col min="5" max="5" width="11" style="79" hidden="1" customWidth="1"/>
    <col min="6" max="8" width="7.5703125" style="79" customWidth="1"/>
    <col min="9" max="9" width="6.7109375" style="79" bestFit="1" customWidth="1"/>
    <col min="10" max="18" width="6" style="79" bestFit="1" customWidth="1"/>
    <col min="19" max="256" width="9.140625" style="79"/>
    <col min="257" max="257" width="2.85546875" style="79" customWidth="1"/>
    <col min="258" max="258" width="12.85546875" style="79" customWidth="1"/>
    <col min="259" max="259" width="18" style="79" customWidth="1"/>
    <col min="260" max="260" width="9.85546875" style="79" customWidth="1"/>
    <col min="261" max="261" width="0" style="79" hidden="1" customWidth="1"/>
    <col min="262" max="264" width="7.5703125" style="79" customWidth="1"/>
    <col min="265" max="265" width="6.7109375" style="79" bestFit="1" customWidth="1"/>
    <col min="266" max="274" width="6" style="79" bestFit="1" customWidth="1"/>
    <col min="275" max="512" width="9.140625" style="79"/>
    <col min="513" max="513" width="2.85546875" style="79" customWidth="1"/>
    <col min="514" max="514" width="12.85546875" style="79" customWidth="1"/>
    <col min="515" max="515" width="18" style="79" customWidth="1"/>
    <col min="516" max="516" width="9.85546875" style="79" customWidth="1"/>
    <col min="517" max="517" width="0" style="79" hidden="1" customWidth="1"/>
    <col min="518" max="520" width="7.5703125" style="79" customWidth="1"/>
    <col min="521" max="521" width="6.7109375" style="79" bestFit="1" customWidth="1"/>
    <col min="522" max="530" width="6" style="79" bestFit="1" customWidth="1"/>
    <col min="531" max="768" width="9.140625" style="79"/>
    <col min="769" max="769" width="2.85546875" style="79" customWidth="1"/>
    <col min="770" max="770" width="12.85546875" style="79" customWidth="1"/>
    <col min="771" max="771" width="18" style="79" customWidth="1"/>
    <col min="772" max="772" width="9.85546875" style="79" customWidth="1"/>
    <col min="773" max="773" width="0" style="79" hidden="1" customWidth="1"/>
    <col min="774" max="776" width="7.5703125" style="79" customWidth="1"/>
    <col min="777" max="777" width="6.7109375" style="79" bestFit="1" customWidth="1"/>
    <col min="778" max="786" width="6" style="79" bestFit="1" customWidth="1"/>
    <col min="787" max="1024" width="9.140625" style="79"/>
    <col min="1025" max="1025" width="2.85546875" style="79" customWidth="1"/>
    <col min="1026" max="1026" width="12.85546875" style="79" customWidth="1"/>
    <col min="1027" max="1027" width="18" style="79" customWidth="1"/>
    <col min="1028" max="1028" width="9.85546875" style="79" customWidth="1"/>
    <col min="1029" max="1029" width="0" style="79" hidden="1" customWidth="1"/>
    <col min="1030" max="1032" width="7.5703125" style="79" customWidth="1"/>
    <col min="1033" max="1033" width="6.7109375" style="79" bestFit="1" customWidth="1"/>
    <col min="1034" max="1042" width="6" style="79" bestFit="1" customWidth="1"/>
    <col min="1043" max="1280" width="9.140625" style="79"/>
    <col min="1281" max="1281" width="2.85546875" style="79" customWidth="1"/>
    <col min="1282" max="1282" width="12.85546875" style="79" customWidth="1"/>
    <col min="1283" max="1283" width="18" style="79" customWidth="1"/>
    <col min="1284" max="1284" width="9.85546875" style="79" customWidth="1"/>
    <col min="1285" max="1285" width="0" style="79" hidden="1" customWidth="1"/>
    <col min="1286" max="1288" width="7.5703125" style="79" customWidth="1"/>
    <col min="1289" max="1289" width="6.7109375" style="79" bestFit="1" customWidth="1"/>
    <col min="1290" max="1298" width="6" style="79" bestFit="1" customWidth="1"/>
    <col min="1299" max="1536" width="9.140625" style="79"/>
    <col min="1537" max="1537" width="2.85546875" style="79" customWidth="1"/>
    <col min="1538" max="1538" width="12.85546875" style="79" customWidth="1"/>
    <col min="1539" max="1539" width="18" style="79" customWidth="1"/>
    <col min="1540" max="1540" width="9.85546875" style="79" customWidth="1"/>
    <col min="1541" max="1541" width="0" style="79" hidden="1" customWidth="1"/>
    <col min="1542" max="1544" width="7.5703125" style="79" customWidth="1"/>
    <col min="1545" max="1545" width="6.7109375" style="79" bestFit="1" customWidth="1"/>
    <col min="1546" max="1554" width="6" style="79" bestFit="1" customWidth="1"/>
    <col min="1555" max="1792" width="9.140625" style="79"/>
    <col min="1793" max="1793" width="2.85546875" style="79" customWidth="1"/>
    <col min="1794" max="1794" width="12.85546875" style="79" customWidth="1"/>
    <col min="1795" max="1795" width="18" style="79" customWidth="1"/>
    <col min="1796" max="1796" width="9.85546875" style="79" customWidth="1"/>
    <col min="1797" max="1797" width="0" style="79" hidden="1" customWidth="1"/>
    <col min="1798" max="1800" width="7.5703125" style="79" customWidth="1"/>
    <col min="1801" max="1801" width="6.7109375" style="79" bestFit="1" customWidth="1"/>
    <col min="1802" max="1810" width="6" style="79" bestFit="1" customWidth="1"/>
    <col min="1811" max="2048" width="9.140625" style="79"/>
    <col min="2049" max="2049" width="2.85546875" style="79" customWidth="1"/>
    <col min="2050" max="2050" width="12.85546875" style="79" customWidth="1"/>
    <col min="2051" max="2051" width="18" style="79" customWidth="1"/>
    <col min="2052" max="2052" width="9.85546875" style="79" customWidth="1"/>
    <col min="2053" max="2053" width="0" style="79" hidden="1" customWidth="1"/>
    <col min="2054" max="2056" width="7.5703125" style="79" customWidth="1"/>
    <col min="2057" max="2057" width="6.7109375" style="79" bestFit="1" customWidth="1"/>
    <col min="2058" max="2066" width="6" style="79" bestFit="1" customWidth="1"/>
    <col min="2067" max="2304" width="9.140625" style="79"/>
    <col min="2305" max="2305" width="2.85546875" style="79" customWidth="1"/>
    <col min="2306" max="2306" width="12.85546875" style="79" customWidth="1"/>
    <col min="2307" max="2307" width="18" style="79" customWidth="1"/>
    <col min="2308" max="2308" width="9.85546875" style="79" customWidth="1"/>
    <col min="2309" max="2309" width="0" style="79" hidden="1" customWidth="1"/>
    <col min="2310" max="2312" width="7.5703125" style="79" customWidth="1"/>
    <col min="2313" max="2313" width="6.7109375" style="79" bestFit="1" customWidth="1"/>
    <col min="2314" max="2322" width="6" style="79" bestFit="1" customWidth="1"/>
    <col min="2323" max="2560" width="9.140625" style="79"/>
    <col min="2561" max="2561" width="2.85546875" style="79" customWidth="1"/>
    <col min="2562" max="2562" width="12.85546875" style="79" customWidth="1"/>
    <col min="2563" max="2563" width="18" style="79" customWidth="1"/>
    <col min="2564" max="2564" width="9.85546875" style="79" customWidth="1"/>
    <col min="2565" max="2565" width="0" style="79" hidden="1" customWidth="1"/>
    <col min="2566" max="2568" width="7.5703125" style="79" customWidth="1"/>
    <col min="2569" max="2569" width="6.7109375" style="79" bestFit="1" customWidth="1"/>
    <col min="2570" max="2578" width="6" style="79" bestFit="1" customWidth="1"/>
    <col min="2579" max="2816" width="9.140625" style="79"/>
    <col min="2817" max="2817" width="2.85546875" style="79" customWidth="1"/>
    <col min="2818" max="2818" width="12.85546875" style="79" customWidth="1"/>
    <col min="2819" max="2819" width="18" style="79" customWidth="1"/>
    <col min="2820" max="2820" width="9.85546875" style="79" customWidth="1"/>
    <col min="2821" max="2821" width="0" style="79" hidden="1" customWidth="1"/>
    <col min="2822" max="2824" width="7.5703125" style="79" customWidth="1"/>
    <col min="2825" max="2825" width="6.7109375" style="79" bestFit="1" customWidth="1"/>
    <col min="2826" max="2834" width="6" style="79" bestFit="1" customWidth="1"/>
    <col min="2835" max="3072" width="9.140625" style="79"/>
    <col min="3073" max="3073" width="2.85546875" style="79" customWidth="1"/>
    <col min="3074" max="3074" width="12.85546875" style="79" customWidth="1"/>
    <col min="3075" max="3075" width="18" style="79" customWidth="1"/>
    <col min="3076" max="3076" width="9.85546875" style="79" customWidth="1"/>
    <col min="3077" max="3077" width="0" style="79" hidden="1" customWidth="1"/>
    <col min="3078" max="3080" width="7.5703125" style="79" customWidth="1"/>
    <col min="3081" max="3081" width="6.7109375" style="79" bestFit="1" customWidth="1"/>
    <col min="3082" max="3090" width="6" style="79" bestFit="1" customWidth="1"/>
    <col min="3091" max="3328" width="9.140625" style="79"/>
    <col min="3329" max="3329" width="2.85546875" style="79" customWidth="1"/>
    <col min="3330" max="3330" width="12.85546875" style="79" customWidth="1"/>
    <col min="3331" max="3331" width="18" style="79" customWidth="1"/>
    <col min="3332" max="3332" width="9.85546875" style="79" customWidth="1"/>
    <col min="3333" max="3333" width="0" style="79" hidden="1" customWidth="1"/>
    <col min="3334" max="3336" width="7.5703125" style="79" customWidth="1"/>
    <col min="3337" max="3337" width="6.7109375" style="79" bestFit="1" customWidth="1"/>
    <col min="3338" max="3346" width="6" style="79" bestFit="1" customWidth="1"/>
    <col min="3347" max="3584" width="9.140625" style="79"/>
    <col min="3585" max="3585" width="2.85546875" style="79" customWidth="1"/>
    <col min="3586" max="3586" width="12.85546875" style="79" customWidth="1"/>
    <col min="3587" max="3587" width="18" style="79" customWidth="1"/>
    <col min="3588" max="3588" width="9.85546875" style="79" customWidth="1"/>
    <col min="3589" max="3589" width="0" style="79" hidden="1" customWidth="1"/>
    <col min="3590" max="3592" width="7.5703125" style="79" customWidth="1"/>
    <col min="3593" max="3593" width="6.7109375" style="79" bestFit="1" customWidth="1"/>
    <col min="3594" max="3602" width="6" style="79" bestFit="1" customWidth="1"/>
    <col min="3603" max="3840" width="9.140625" style="79"/>
    <col min="3841" max="3841" width="2.85546875" style="79" customWidth="1"/>
    <col min="3842" max="3842" width="12.85546875" style="79" customWidth="1"/>
    <col min="3843" max="3843" width="18" style="79" customWidth="1"/>
    <col min="3844" max="3844" width="9.85546875" style="79" customWidth="1"/>
    <col min="3845" max="3845" width="0" style="79" hidden="1" customWidth="1"/>
    <col min="3846" max="3848" width="7.5703125" style="79" customWidth="1"/>
    <col min="3849" max="3849" width="6.7109375" style="79" bestFit="1" customWidth="1"/>
    <col min="3850" max="3858" width="6" style="79" bestFit="1" customWidth="1"/>
    <col min="3859" max="4096" width="9.140625" style="79"/>
    <col min="4097" max="4097" width="2.85546875" style="79" customWidth="1"/>
    <col min="4098" max="4098" width="12.85546875" style="79" customWidth="1"/>
    <col min="4099" max="4099" width="18" style="79" customWidth="1"/>
    <col min="4100" max="4100" width="9.85546875" style="79" customWidth="1"/>
    <col min="4101" max="4101" width="0" style="79" hidden="1" customWidth="1"/>
    <col min="4102" max="4104" width="7.5703125" style="79" customWidth="1"/>
    <col min="4105" max="4105" width="6.7109375" style="79" bestFit="1" customWidth="1"/>
    <col min="4106" max="4114" width="6" style="79" bestFit="1" customWidth="1"/>
    <col min="4115" max="4352" width="9.140625" style="79"/>
    <col min="4353" max="4353" width="2.85546875" style="79" customWidth="1"/>
    <col min="4354" max="4354" width="12.85546875" style="79" customWidth="1"/>
    <col min="4355" max="4355" width="18" style="79" customWidth="1"/>
    <col min="4356" max="4356" width="9.85546875" style="79" customWidth="1"/>
    <col min="4357" max="4357" width="0" style="79" hidden="1" customWidth="1"/>
    <col min="4358" max="4360" width="7.5703125" style="79" customWidth="1"/>
    <col min="4361" max="4361" width="6.7109375" style="79" bestFit="1" customWidth="1"/>
    <col min="4362" max="4370" width="6" style="79" bestFit="1" customWidth="1"/>
    <col min="4371" max="4608" width="9.140625" style="79"/>
    <col min="4609" max="4609" width="2.85546875" style="79" customWidth="1"/>
    <col min="4610" max="4610" width="12.85546875" style="79" customWidth="1"/>
    <col min="4611" max="4611" width="18" style="79" customWidth="1"/>
    <col min="4612" max="4612" width="9.85546875" style="79" customWidth="1"/>
    <col min="4613" max="4613" width="0" style="79" hidden="1" customWidth="1"/>
    <col min="4614" max="4616" width="7.5703125" style="79" customWidth="1"/>
    <col min="4617" max="4617" width="6.7109375" style="79" bestFit="1" customWidth="1"/>
    <col min="4618" max="4626" width="6" style="79" bestFit="1" customWidth="1"/>
    <col min="4627" max="4864" width="9.140625" style="79"/>
    <col min="4865" max="4865" width="2.85546875" style="79" customWidth="1"/>
    <col min="4866" max="4866" width="12.85546875" style="79" customWidth="1"/>
    <col min="4867" max="4867" width="18" style="79" customWidth="1"/>
    <col min="4868" max="4868" width="9.85546875" style="79" customWidth="1"/>
    <col min="4869" max="4869" width="0" style="79" hidden="1" customWidth="1"/>
    <col min="4870" max="4872" width="7.5703125" style="79" customWidth="1"/>
    <col min="4873" max="4873" width="6.7109375" style="79" bestFit="1" customWidth="1"/>
    <col min="4874" max="4882" width="6" style="79" bestFit="1" customWidth="1"/>
    <col min="4883" max="5120" width="9.140625" style="79"/>
    <col min="5121" max="5121" width="2.85546875" style="79" customWidth="1"/>
    <col min="5122" max="5122" width="12.85546875" style="79" customWidth="1"/>
    <col min="5123" max="5123" width="18" style="79" customWidth="1"/>
    <col min="5124" max="5124" width="9.85546875" style="79" customWidth="1"/>
    <col min="5125" max="5125" width="0" style="79" hidden="1" customWidth="1"/>
    <col min="5126" max="5128" width="7.5703125" style="79" customWidth="1"/>
    <col min="5129" max="5129" width="6.7109375" style="79" bestFit="1" customWidth="1"/>
    <col min="5130" max="5138" width="6" style="79" bestFit="1" customWidth="1"/>
    <col min="5139" max="5376" width="9.140625" style="79"/>
    <col min="5377" max="5377" width="2.85546875" style="79" customWidth="1"/>
    <col min="5378" max="5378" width="12.85546875" style="79" customWidth="1"/>
    <col min="5379" max="5379" width="18" style="79" customWidth="1"/>
    <col min="5380" max="5380" width="9.85546875" style="79" customWidth="1"/>
    <col min="5381" max="5381" width="0" style="79" hidden="1" customWidth="1"/>
    <col min="5382" max="5384" width="7.5703125" style="79" customWidth="1"/>
    <col min="5385" max="5385" width="6.7109375" style="79" bestFit="1" customWidth="1"/>
    <col min="5386" max="5394" width="6" style="79" bestFit="1" customWidth="1"/>
    <col min="5395" max="5632" width="9.140625" style="79"/>
    <col min="5633" max="5633" width="2.85546875" style="79" customWidth="1"/>
    <col min="5634" max="5634" width="12.85546875" style="79" customWidth="1"/>
    <col min="5635" max="5635" width="18" style="79" customWidth="1"/>
    <col min="5636" max="5636" width="9.85546875" style="79" customWidth="1"/>
    <col min="5637" max="5637" width="0" style="79" hidden="1" customWidth="1"/>
    <col min="5638" max="5640" width="7.5703125" style="79" customWidth="1"/>
    <col min="5641" max="5641" width="6.7109375" style="79" bestFit="1" customWidth="1"/>
    <col min="5642" max="5650" width="6" style="79" bestFit="1" customWidth="1"/>
    <col min="5651" max="5888" width="9.140625" style="79"/>
    <col min="5889" max="5889" width="2.85546875" style="79" customWidth="1"/>
    <col min="5890" max="5890" width="12.85546875" style="79" customWidth="1"/>
    <col min="5891" max="5891" width="18" style="79" customWidth="1"/>
    <col min="5892" max="5892" width="9.85546875" style="79" customWidth="1"/>
    <col min="5893" max="5893" width="0" style="79" hidden="1" customWidth="1"/>
    <col min="5894" max="5896" width="7.5703125" style="79" customWidth="1"/>
    <col min="5897" max="5897" width="6.7109375" style="79" bestFit="1" customWidth="1"/>
    <col min="5898" max="5906" width="6" style="79" bestFit="1" customWidth="1"/>
    <col min="5907" max="6144" width="9.140625" style="79"/>
    <col min="6145" max="6145" width="2.85546875" style="79" customWidth="1"/>
    <col min="6146" max="6146" width="12.85546875" style="79" customWidth="1"/>
    <col min="6147" max="6147" width="18" style="79" customWidth="1"/>
    <col min="6148" max="6148" width="9.85546875" style="79" customWidth="1"/>
    <col min="6149" max="6149" width="0" style="79" hidden="1" customWidth="1"/>
    <col min="6150" max="6152" width="7.5703125" style="79" customWidth="1"/>
    <col min="6153" max="6153" width="6.7109375" style="79" bestFit="1" customWidth="1"/>
    <col min="6154" max="6162" width="6" style="79" bestFit="1" customWidth="1"/>
    <col min="6163" max="6400" width="9.140625" style="79"/>
    <col min="6401" max="6401" width="2.85546875" style="79" customWidth="1"/>
    <col min="6402" max="6402" width="12.85546875" style="79" customWidth="1"/>
    <col min="6403" max="6403" width="18" style="79" customWidth="1"/>
    <col min="6404" max="6404" width="9.85546875" style="79" customWidth="1"/>
    <col min="6405" max="6405" width="0" style="79" hidden="1" customWidth="1"/>
    <col min="6406" max="6408" width="7.5703125" style="79" customWidth="1"/>
    <col min="6409" max="6409" width="6.7109375" style="79" bestFit="1" customWidth="1"/>
    <col min="6410" max="6418" width="6" style="79" bestFit="1" customWidth="1"/>
    <col min="6419" max="6656" width="9.140625" style="79"/>
    <col min="6657" max="6657" width="2.85546875" style="79" customWidth="1"/>
    <col min="6658" max="6658" width="12.85546875" style="79" customWidth="1"/>
    <col min="6659" max="6659" width="18" style="79" customWidth="1"/>
    <col min="6660" max="6660" width="9.85546875" style="79" customWidth="1"/>
    <col min="6661" max="6661" width="0" style="79" hidden="1" customWidth="1"/>
    <col min="6662" max="6664" width="7.5703125" style="79" customWidth="1"/>
    <col min="6665" max="6665" width="6.7109375" style="79" bestFit="1" customWidth="1"/>
    <col min="6666" max="6674" width="6" style="79" bestFit="1" customWidth="1"/>
    <col min="6675" max="6912" width="9.140625" style="79"/>
    <col min="6913" max="6913" width="2.85546875" style="79" customWidth="1"/>
    <col min="6914" max="6914" width="12.85546875" style="79" customWidth="1"/>
    <col min="6915" max="6915" width="18" style="79" customWidth="1"/>
    <col min="6916" max="6916" width="9.85546875" style="79" customWidth="1"/>
    <col min="6917" max="6917" width="0" style="79" hidden="1" customWidth="1"/>
    <col min="6918" max="6920" width="7.5703125" style="79" customWidth="1"/>
    <col min="6921" max="6921" width="6.7109375" style="79" bestFit="1" customWidth="1"/>
    <col min="6922" max="6930" width="6" style="79" bestFit="1" customWidth="1"/>
    <col min="6931" max="7168" width="9.140625" style="79"/>
    <col min="7169" max="7169" width="2.85546875" style="79" customWidth="1"/>
    <col min="7170" max="7170" width="12.85546875" style="79" customWidth="1"/>
    <col min="7171" max="7171" width="18" style="79" customWidth="1"/>
    <col min="7172" max="7172" width="9.85546875" style="79" customWidth="1"/>
    <col min="7173" max="7173" width="0" style="79" hidden="1" customWidth="1"/>
    <col min="7174" max="7176" width="7.5703125" style="79" customWidth="1"/>
    <col min="7177" max="7177" width="6.7109375" style="79" bestFit="1" customWidth="1"/>
    <col min="7178" max="7186" width="6" style="79" bestFit="1" customWidth="1"/>
    <col min="7187" max="7424" width="9.140625" style="79"/>
    <col min="7425" max="7425" width="2.85546875" style="79" customWidth="1"/>
    <col min="7426" max="7426" width="12.85546875" style="79" customWidth="1"/>
    <col min="7427" max="7427" width="18" style="79" customWidth="1"/>
    <col min="7428" max="7428" width="9.85546875" style="79" customWidth="1"/>
    <col min="7429" max="7429" width="0" style="79" hidden="1" customWidth="1"/>
    <col min="7430" max="7432" width="7.5703125" style="79" customWidth="1"/>
    <col min="7433" max="7433" width="6.7109375" style="79" bestFit="1" customWidth="1"/>
    <col min="7434" max="7442" width="6" style="79" bestFit="1" customWidth="1"/>
    <col min="7443" max="7680" width="9.140625" style="79"/>
    <col min="7681" max="7681" width="2.85546875" style="79" customWidth="1"/>
    <col min="7682" max="7682" width="12.85546875" style="79" customWidth="1"/>
    <col min="7683" max="7683" width="18" style="79" customWidth="1"/>
    <col min="7684" max="7684" width="9.85546875" style="79" customWidth="1"/>
    <col min="7685" max="7685" width="0" style="79" hidden="1" customWidth="1"/>
    <col min="7686" max="7688" width="7.5703125" style="79" customWidth="1"/>
    <col min="7689" max="7689" width="6.7109375" style="79" bestFit="1" customWidth="1"/>
    <col min="7690" max="7698" width="6" style="79" bestFit="1" customWidth="1"/>
    <col min="7699" max="7936" width="9.140625" style="79"/>
    <col min="7937" max="7937" width="2.85546875" style="79" customWidth="1"/>
    <col min="7938" max="7938" width="12.85546875" style="79" customWidth="1"/>
    <col min="7939" max="7939" width="18" style="79" customWidth="1"/>
    <col min="7940" max="7940" width="9.85546875" style="79" customWidth="1"/>
    <col min="7941" max="7941" width="0" style="79" hidden="1" customWidth="1"/>
    <col min="7942" max="7944" width="7.5703125" style="79" customWidth="1"/>
    <col min="7945" max="7945" width="6.7109375" style="79" bestFit="1" customWidth="1"/>
    <col min="7946" max="7954" width="6" style="79" bestFit="1" customWidth="1"/>
    <col min="7955" max="8192" width="9.140625" style="79"/>
    <col min="8193" max="8193" width="2.85546875" style="79" customWidth="1"/>
    <col min="8194" max="8194" width="12.85546875" style="79" customWidth="1"/>
    <col min="8195" max="8195" width="18" style="79" customWidth="1"/>
    <col min="8196" max="8196" width="9.85546875" style="79" customWidth="1"/>
    <col min="8197" max="8197" width="0" style="79" hidden="1" customWidth="1"/>
    <col min="8198" max="8200" width="7.5703125" style="79" customWidth="1"/>
    <col min="8201" max="8201" width="6.7109375" style="79" bestFit="1" customWidth="1"/>
    <col min="8202" max="8210" width="6" style="79" bestFit="1" customWidth="1"/>
    <col min="8211" max="8448" width="9.140625" style="79"/>
    <col min="8449" max="8449" width="2.85546875" style="79" customWidth="1"/>
    <col min="8450" max="8450" width="12.85546875" style="79" customWidth="1"/>
    <col min="8451" max="8451" width="18" style="79" customWidth="1"/>
    <col min="8452" max="8452" width="9.85546875" style="79" customWidth="1"/>
    <col min="8453" max="8453" width="0" style="79" hidden="1" customWidth="1"/>
    <col min="8454" max="8456" width="7.5703125" style="79" customWidth="1"/>
    <col min="8457" max="8457" width="6.7109375" style="79" bestFit="1" customWidth="1"/>
    <col min="8458" max="8466" width="6" style="79" bestFit="1" customWidth="1"/>
    <col min="8467" max="8704" width="9.140625" style="79"/>
    <col min="8705" max="8705" width="2.85546875" style="79" customWidth="1"/>
    <col min="8706" max="8706" width="12.85546875" style="79" customWidth="1"/>
    <col min="8707" max="8707" width="18" style="79" customWidth="1"/>
    <col min="8708" max="8708" width="9.85546875" style="79" customWidth="1"/>
    <col min="8709" max="8709" width="0" style="79" hidden="1" customWidth="1"/>
    <col min="8710" max="8712" width="7.5703125" style="79" customWidth="1"/>
    <col min="8713" max="8713" width="6.7109375" style="79" bestFit="1" customWidth="1"/>
    <col min="8714" max="8722" width="6" style="79" bestFit="1" customWidth="1"/>
    <col min="8723" max="8960" width="9.140625" style="79"/>
    <col min="8961" max="8961" width="2.85546875" style="79" customWidth="1"/>
    <col min="8962" max="8962" width="12.85546875" style="79" customWidth="1"/>
    <col min="8963" max="8963" width="18" style="79" customWidth="1"/>
    <col min="8964" max="8964" width="9.85546875" style="79" customWidth="1"/>
    <col min="8965" max="8965" width="0" style="79" hidden="1" customWidth="1"/>
    <col min="8966" max="8968" width="7.5703125" style="79" customWidth="1"/>
    <col min="8969" max="8969" width="6.7109375" style="79" bestFit="1" customWidth="1"/>
    <col min="8970" max="8978" width="6" style="79" bestFit="1" customWidth="1"/>
    <col min="8979" max="9216" width="9.140625" style="79"/>
    <col min="9217" max="9217" width="2.85546875" style="79" customWidth="1"/>
    <col min="9218" max="9218" width="12.85546875" style="79" customWidth="1"/>
    <col min="9219" max="9219" width="18" style="79" customWidth="1"/>
    <col min="9220" max="9220" width="9.85546875" style="79" customWidth="1"/>
    <col min="9221" max="9221" width="0" style="79" hidden="1" customWidth="1"/>
    <col min="9222" max="9224" width="7.5703125" style="79" customWidth="1"/>
    <col min="9225" max="9225" width="6.7109375" style="79" bestFit="1" customWidth="1"/>
    <col min="9226" max="9234" width="6" style="79" bestFit="1" customWidth="1"/>
    <col min="9235" max="9472" width="9.140625" style="79"/>
    <col min="9473" max="9473" width="2.85546875" style="79" customWidth="1"/>
    <col min="9474" max="9474" width="12.85546875" style="79" customWidth="1"/>
    <col min="9475" max="9475" width="18" style="79" customWidth="1"/>
    <col min="9476" max="9476" width="9.85546875" style="79" customWidth="1"/>
    <col min="9477" max="9477" width="0" style="79" hidden="1" customWidth="1"/>
    <col min="9478" max="9480" width="7.5703125" style="79" customWidth="1"/>
    <col min="9481" max="9481" width="6.7109375" style="79" bestFit="1" customWidth="1"/>
    <col min="9482" max="9490" width="6" style="79" bestFit="1" customWidth="1"/>
    <col min="9491" max="9728" width="9.140625" style="79"/>
    <col min="9729" max="9729" width="2.85546875" style="79" customWidth="1"/>
    <col min="9730" max="9730" width="12.85546875" style="79" customWidth="1"/>
    <col min="9731" max="9731" width="18" style="79" customWidth="1"/>
    <col min="9732" max="9732" width="9.85546875" style="79" customWidth="1"/>
    <col min="9733" max="9733" width="0" style="79" hidden="1" customWidth="1"/>
    <col min="9734" max="9736" width="7.5703125" style="79" customWidth="1"/>
    <col min="9737" max="9737" width="6.7109375" style="79" bestFit="1" customWidth="1"/>
    <col min="9738" max="9746" width="6" style="79" bestFit="1" customWidth="1"/>
    <col min="9747" max="9984" width="9.140625" style="79"/>
    <col min="9985" max="9985" width="2.85546875" style="79" customWidth="1"/>
    <col min="9986" max="9986" width="12.85546875" style="79" customWidth="1"/>
    <col min="9987" max="9987" width="18" style="79" customWidth="1"/>
    <col min="9988" max="9988" width="9.85546875" style="79" customWidth="1"/>
    <col min="9989" max="9989" width="0" style="79" hidden="1" customWidth="1"/>
    <col min="9990" max="9992" width="7.5703125" style="79" customWidth="1"/>
    <col min="9993" max="9993" width="6.7109375" style="79" bestFit="1" customWidth="1"/>
    <col min="9994" max="10002" width="6" style="79" bestFit="1" customWidth="1"/>
    <col min="10003" max="10240" width="9.140625" style="79"/>
    <col min="10241" max="10241" width="2.85546875" style="79" customWidth="1"/>
    <col min="10242" max="10242" width="12.85546875" style="79" customWidth="1"/>
    <col min="10243" max="10243" width="18" style="79" customWidth="1"/>
    <col min="10244" max="10244" width="9.85546875" style="79" customWidth="1"/>
    <col min="10245" max="10245" width="0" style="79" hidden="1" customWidth="1"/>
    <col min="10246" max="10248" width="7.5703125" style="79" customWidth="1"/>
    <col min="10249" max="10249" width="6.7109375" style="79" bestFit="1" customWidth="1"/>
    <col min="10250" max="10258" width="6" style="79" bestFit="1" customWidth="1"/>
    <col min="10259" max="10496" width="9.140625" style="79"/>
    <col min="10497" max="10497" width="2.85546875" style="79" customWidth="1"/>
    <col min="10498" max="10498" width="12.85546875" style="79" customWidth="1"/>
    <col min="10499" max="10499" width="18" style="79" customWidth="1"/>
    <col min="10500" max="10500" width="9.85546875" style="79" customWidth="1"/>
    <col min="10501" max="10501" width="0" style="79" hidden="1" customWidth="1"/>
    <col min="10502" max="10504" width="7.5703125" style="79" customWidth="1"/>
    <col min="10505" max="10505" width="6.7109375" style="79" bestFit="1" customWidth="1"/>
    <col min="10506" max="10514" width="6" style="79" bestFit="1" customWidth="1"/>
    <col min="10515" max="10752" width="9.140625" style="79"/>
    <col min="10753" max="10753" width="2.85546875" style="79" customWidth="1"/>
    <col min="10754" max="10754" width="12.85546875" style="79" customWidth="1"/>
    <col min="10755" max="10755" width="18" style="79" customWidth="1"/>
    <col min="10756" max="10756" width="9.85546875" style="79" customWidth="1"/>
    <col min="10757" max="10757" width="0" style="79" hidden="1" customWidth="1"/>
    <col min="10758" max="10760" width="7.5703125" style="79" customWidth="1"/>
    <col min="10761" max="10761" width="6.7109375" style="79" bestFit="1" customWidth="1"/>
    <col min="10762" max="10770" width="6" style="79" bestFit="1" customWidth="1"/>
    <col min="10771" max="11008" width="9.140625" style="79"/>
    <col min="11009" max="11009" width="2.85546875" style="79" customWidth="1"/>
    <col min="11010" max="11010" width="12.85546875" style="79" customWidth="1"/>
    <col min="11011" max="11011" width="18" style="79" customWidth="1"/>
    <col min="11012" max="11012" width="9.85546875" style="79" customWidth="1"/>
    <col min="11013" max="11013" width="0" style="79" hidden="1" customWidth="1"/>
    <col min="11014" max="11016" width="7.5703125" style="79" customWidth="1"/>
    <col min="11017" max="11017" width="6.7109375" style="79" bestFit="1" customWidth="1"/>
    <col min="11018" max="11026" width="6" style="79" bestFit="1" customWidth="1"/>
    <col min="11027" max="11264" width="9.140625" style="79"/>
    <col min="11265" max="11265" width="2.85546875" style="79" customWidth="1"/>
    <col min="11266" max="11266" width="12.85546875" style="79" customWidth="1"/>
    <col min="11267" max="11267" width="18" style="79" customWidth="1"/>
    <col min="11268" max="11268" width="9.85546875" style="79" customWidth="1"/>
    <col min="11269" max="11269" width="0" style="79" hidden="1" customWidth="1"/>
    <col min="11270" max="11272" width="7.5703125" style="79" customWidth="1"/>
    <col min="11273" max="11273" width="6.7109375" style="79" bestFit="1" customWidth="1"/>
    <col min="11274" max="11282" width="6" style="79" bestFit="1" customWidth="1"/>
    <col min="11283" max="11520" width="9.140625" style="79"/>
    <col min="11521" max="11521" width="2.85546875" style="79" customWidth="1"/>
    <col min="11522" max="11522" width="12.85546875" style="79" customWidth="1"/>
    <col min="11523" max="11523" width="18" style="79" customWidth="1"/>
    <col min="11524" max="11524" width="9.85546875" style="79" customWidth="1"/>
    <col min="11525" max="11525" width="0" style="79" hidden="1" customWidth="1"/>
    <col min="11526" max="11528" width="7.5703125" style="79" customWidth="1"/>
    <col min="11529" max="11529" width="6.7109375" style="79" bestFit="1" customWidth="1"/>
    <col min="11530" max="11538" width="6" style="79" bestFit="1" customWidth="1"/>
    <col min="11539" max="11776" width="9.140625" style="79"/>
    <col min="11777" max="11777" width="2.85546875" style="79" customWidth="1"/>
    <col min="11778" max="11778" width="12.85546875" style="79" customWidth="1"/>
    <col min="11779" max="11779" width="18" style="79" customWidth="1"/>
    <col min="11780" max="11780" width="9.85546875" style="79" customWidth="1"/>
    <col min="11781" max="11781" width="0" style="79" hidden="1" customWidth="1"/>
    <col min="11782" max="11784" width="7.5703125" style="79" customWidth="1"/>
    <col min="11785" max="11785" width="6.7109375" style="79" bestFit="1" customWidth="1"/>
    <col min="11786" max="11794" width="6" style="79" bestFit="1" customWidth="1"/>
    <col min="11795" max="12032" width="9.140625" style="79"/>
    <col min="12033" max="12033" width="2.85546875" style="79" customWidth="1"/>
    <col min="12034" max="12034" width="12.85546875" style="79" customWidth="1"/>
    <col min="12035" max="12035" width="18" style="79" customWidth="1"/>
    <col min="12036" max="12036" width="9.85546875" style="79" customWidth="1"/>
    <col min="12037" max="12037" width="0" style="79" hidden="1" customWidth="1"/>
    <col min="12038" max="12040" width="7.5703125" style="79" customWidth="1"/>
    <col min="12041" max="12041" width="6.7109375" style="79" bestFit="1" customWidth="1"/>
    <col min="12042" max="12050" width="6" style="79" bestFit="1" customWidth="1"/>
    <col min="12051" max="12288" width="9.140625" style="79"/>
    <col min="12289" max="12289" width="2.85546875" style="79" customWidth="1"/>
    <col min="12290" max="12290" width="12.85546875" style="79" customWidth="1"/>
    <col min="12291" max="12291" width="18" style="79" customWidth="1"/>
    <col min="12292" max="12292" width="9.85546875" style="79" customWidth="1"/>
    <col min="12293" max="12293" width="0" style="79" hidden="1" customWidth="1"/>
    <col min="12294" max="12296" width="7.5703125" style="79" customWidth="1"/>
    <col min="12297" max="12297" width="6.7109375" style="79" bestFit="1" customWidth="1"/>
    <col min="12298" max="12306" width="6" style="79" bestFit="1" customWidth="1"/>
    <col min="12307" max="12544" width="9.140625" style="79"/>
    <col min="12545" max="12545" width="2.85546875" style="79" customWidth="1"/>
    <col min="12546" max="12546" width="12.85546875" style="79" customWidth="1"/>
    <col min="12547" max="12547" width="18" style="79" customWidth="1"/>
    <col min="12548" max="12548" width="9.85546875" style="79" customWidth="1"/>
    <col min="12549" max="12549" width="0" style="79" hidden="1" customWidth="1"/>
    <col min="12550" max="12552" width="7.5703125" style="79" customWidth="1"/>
    <col min="12553" max="12553" width="6.7109375" style="79" bestFit="1" customWidth="1"/>
    <col min="12554" max="12562" width="6" style="79" bestFit="1" customWidth="1"/>
    <col min="12563" max="12800" width="9.140625" style="79"/>
    <col min="12801" max="12801" width="2.85546875" style="79" customWidth="1"/>
    <col min="12802" max="12802" width="12.85546875" style="79" customWidth="1"/>
    <col min="12803" max="12803" width="18" style="79" customWidth="1"/>
    <col min="12804" max="12804" width="9.85546875" style="79" customWidth="1"/>
    <col min="12805" max="12805" width="0" style="79" hidden="1" customWidth="1"/>
    <col min="12806" max="12808" width="7.5703125" style="79" customWidth="1"/>
    <col min="12809" max="12809" width="6.7109375" style="79" bestFit="1" customWidth="1"/>
    <col min="12810" max="12818" width="6" style="79" bestFit="1" customWidth="1"/>
    <col min="12819" max="13056" width="9.140625" style="79"/>
    <col min="13057" max="13057" width="2.85546875" style="79" customWidth="1"/>
    <col min="13058" max="13058" width="12.85546875" style="79" customWidth="1"/>
    <col min="13059" max="13059" width="18" style="79" customWidth="1"/>
    <col min="13060" max="13060" width="9.85546875" style="79" customWidth="1"/>
    <col min="13061" max="13061" width="0" style="79" hidden="1" customWidth="1"/>
    <col min="13062" max="13064" width="7.5703125" style="79" customWidth="1"/>
    <col min="13065" max="13065" width="6.7109375" style="79" bestFit="1" customWidth="1"/>
    <col min="13066" max="13074" width="6" style="79" bestFit="1" customWidth="1"/>
    <col min="13075" max="13312" width="9.140625" style="79"/>
    <col min="13313" max="13313" width="2.85546875" style="79" customWidth="1"/>
    <col min="13314" max="13314" width="12.85546875" style="79" customWidth="1"/>
    <col min="13315" max="13315" width="18" style="79" customWidth="1"/>
    <col min="13316" max="13316" width="9.85546875" style="79" customWidth="1"/>
    <col min="13317" max="13317" width="0" style="79" hidden="1" customWidth="1"/>
    <col min="13318" max="13320" width="7.5703125" style="79" customWidth="1"/>
    <col min="13321" max="13321" width="6.7109375" style="79" bestFit="1" customWidth="1"/>
    <col min="13322" max="13330" width="6" style="79" bestFit="1" customWidth="1"/>
    <col min="13331" max="13568" width="9.140625" style="79"/>
    <col min="13569" max="13569" width="2.85546875" style="79" customWidth="1"/>
    <col min="13570" max="13570" width="12.85546875" style="79" customWidth="1"/>
    <col min="13571" max="13571" width="18" style="79" customWidth="1"/>
    <col min="13572" max="13572" width="9.85546875" style="79" customWidth="1"/>
    <col min="13573" max="13573" width="0" style="79" hidden="1" customWidth="1"/>
    <col min="13574" max="13576" width="7.5703125" style="79" customWidth="1"/>
    <col min="13577" max="13577" width="6.7109375" style="79" bestFit="1" customWidth="1"/>
    <col min="13578" max="13586" width="6" style="79" bestFit="1" customWidth="1"/>
    <col min="13587" max="13824" width="9.140625" style="79"/>
    <col min="13825" max="13825" width="2.85546875" style="79" customWidth="1"/>
    <col min="13826" max="13826" width="12.85546875" style="79" customWidth="1"/>
    <col min="13827" max="13827" width="18" style="79" customWidth="1"/>
    <col min="13828" max="13828" width="9.85546875" style="79" customWidth="1"/>
    <col min="13829" max="13829" width="0" style="79" hidden="1" customWidth="1"/>
    <col min="13830" max="13832" width="7.5703125" style="79" customWidth="1"/>
    <col min="13833" max="13833" width="6.7109375" style="79" bestFit="1" customWidth="1"/>
    <col min="13834" max="13842" width="6" style="79" bestFit="1" customWidth="1"/>
    <col min="13843" max="14080" width="9.140625" style="79"/>
    <col min="14081" max="14081" width="2.85546875" style="79" customWidth="1"/>
    <col min="14082" max="14082" width="12.85546875" style="79" customWidth="1"/>
    <col min="14083" max="14083" width="18" style="79" customWidth="1"/>
    <col min="14084" max="14084" width="9.85546875" style="79" customWidth="1"/>
    <col min="14085" max="14085" width="0" style="79" hidden="1" customWidth="1"/>
    <col min="14086" max="14088" width="7.5703125" style="79" customWidth="1"/>
    <col min="14089" max="14089" width="6.7109375" style="79" bestFit="1" customWidth="1"/>
    <col min="14090" max="14098" width="6" style="79" bestFit="1" customWidth="1"/>
    <col min="14099" max="14336" width="9.140625" style="79"/>
    <col min="14337" max="14337" width="2.85546875" style="79" customWidth="1"/>
    <col min="14338" max="14338" width="12.85546875" style="79" customWidth="1"/>
    <col min="14339" max="14339" width="18" style="79" customWidth="1"/>
    <col min="14340" max="14340" width="9.85546875" style="79" customWidth="1"/>
    <col min="14341" max="14341" width="0" style="79" hidden="1" customWidth="1"/>
    <col min="14342" max="14344" width="7.5703125" style="79" customWidth="1"/>
    <col min="14345" max="14345" width="6.7109375" style="79" bestFit="1" customWidth="1"/>
    <col min="14346" max="14354" width="6" style="79" bestFit="1" customWidth="1"/>
    <col min="14355" max="14592" width="9.140625" style="79"/>
    <col min="14593" max="14593" width="2.85546875" style="79" customWidth="1"/>
    <col min="14594" max="14594" width="12.85546875" style="79" customWidth="1"/>
    <col min="14595" max="14595" width="18" style="79" customWidth="1"/>
    <col min="14596" max="14596" width="9.85546875" style="79" customWidth="1"/>
    <col min="14597" max="14597" width="0" style="79" hidden="1" customWidth="1"/>
    <col min="14598" max="14600" width="7.5703125" style="79" customWidth="1"/>
    <col min="14601" max="14601" width="6.7109375" style="79" bestFit="1" customWidth="1"/>
    <col min="14602" max="14610" width="6" style="79" bestFit="1" customWidth="1"/>
    <col min="14611" max="14848" width="9.140625" style="79"/>
    <col min="14849" max="14849" width="2.85546875" style="79" customWidth="1"/>
    <col min="14850" max="14850" width="12.85546875" style="79" customWidth="1"/>
    <col min="14851" max="14851" width="18" style="79" customWidth="1"/>
    <col min="14852" max="14852" width="9.85546875" style="79" customWidth="1"/>
    <col min="14853" max="14853" width="0" style="79" hidden="1" customWidth="1"/>
    <col min="14854" max="14856" width="7.5703125" style="79" customWidth="1"/>
    <col min="14857" max="14857" width="6.7109375" style="79" bestFit="1" customWidth="1"/>
    <col min="14858" max="14866" width="6" style="79" bestFit="1" customWidth="1"/>
    <col min="14867" max="15104" width="9.140625" style="79"/>
    <col min="15105" max="15105" width="2.85546875" style="79" customWidth="1"/>
    <col min="15106" max="15106" width="12.85546875" style="79" customWidth="1"/>
    <col min="15107" max="15107" width="18" style="79" customWidth="1"/>
    <col min="15108" max="15108" width="9.85546875" style="79" customWidth="1"/>
    <col min="15109" max="15109" width="0" style="79" hidden="1" customWidth="1"/>
    <col min="15110" max="15112" width="7.5703125" style="79" customWidth="1"/>
    <col min="15113" max="15113" width="6.7109375" style="79" bestFit="1" customWidth="1"/>
    <col min="15114" max="15122" width="6" style="79" bestFit="1" customWidth="1"/>
    <col min="15123" max="15360" width="9.140625" style="79"/>
    <col min="15361" max="15361" width="2.85546875" style="79" customWidth="1"/>
    <col min="15362" max="15362" width="12.85546875" style="79" customWidth="1"/>
    <col min="15363" max="15363" width="18" style="79" customWidth="1"/>
    <col min="15364" max="15364" width="9.85546875" style="79" customWidth="1"/>
    <col min="15365" max="15365" width="0" style="79" hidden="1" customWidth="1"/>
    <col min="15366" max="15368" width="7.5703125" style="79" customWidth="1"/>
    <col min="15369" max="15369" width="6.7109375" style="79" bestFit="1" customWidth="1"/>
    <col min="15370" max="15378" width="6" style="79" bestFit="1" customWidth="1"/>
    <col min="15379" max="15616" width="9.140625" style="79"/>
    <col min="15617" max="15617" width="2.85546875" style="79" customWidth="1"/>
    <col min="15618" max="15618" width="12.85546875" style="79" customWidth="1"/>
    <col min="15619" max="15619" width="18" style="79" customWidth="1"/>
    <col min="15620" max="15620" width="9.85546875" style="79" customWidth="1"/>
    <col min="15621" max="15621" width="0" style="79" hidden="1" customWidth="1"/>
    <col min="15622" max="15624" width="7.5703125" style="79" customWidth="1"/>
    <col min="15625" max="15625" width="6.7109375" style="79" bestFit="1" customWidth="1"/>
    <col min="15626" max="15634" width="6" style="79" bestFit="1" customWidth="1"/>
    <col min="15635" max="15872" width="9.140625" style="79"/>
    <col min="15873" max="15873" width="2.85546875" style="79" customWidth="1"/>
    <col min="15874" max="15874" width="12.85546875" style="79" customWidth="1"/>
    <col min="15875" max="15875" width="18" style="79" customWidth="1"/>
    <col min="15876" max="15876" width="9.85546875" style="79" customWidth="1"/>
    <col min="15877" max="15877" width="0" style="79" hidden="1" customWidth="1"/>
    <col min="15878" max="15880" width="7.5703125" style="79" customWidth="1"/>
    <col min="15881" max="15881" width="6.7109375" style="79" bestFit="1" customWidth="1"/>
    <col min="15882" max="15890" width="6" style="79" bestFit="1" customWidth="1"/>
    <col min="15891" max="16128" width="9.140625" style="79"/>
    <col min="16129" max="16129" width="2.85546875" style="79" customWidth="1"/>
    <col min="16130" max="16130" width="12.85546875" style="79" customWidth="1"/>
    <col min="16131" max="16131" width="18" style="79" customWidth="1"/>
    <col min="16132" max="16132" width="9.85546875" style="79" customWidth="1"/>
    <col min="16133" max="16133" width="0" style="79" hidden="1" customWidth="1"/>
    <col min="16134" max="16136" width="7.5703125" style="79" customWidth="1"/>
    <col min="16137" max="16137" width="6.7109375" style="79" bestFit="1" customWidth="1"/>
    <col min="16138" max="16146" width="6" style="79" bestFit="1" customWidth="1"/>
    <col min="16147" max="16384" width="9.140625" style="79"/>
  </cols>
  <sheetData>
    <row r="1" spans="2:21" ht="15.75" thickBot="1"/>
    <row r="2" spans="2:21">
      <c r="B2" s="68" t="s">
        <v>113</v>
      </c>
      <c r="C2" s="69"/>
      <c r="D2" s="69"/>
      <c r="E2" s="69"/>
      <c r="F2" s="69"/>
      <c r="G2" s="69"/>
      <c r="H2" s="69"/>
      <c r="I2" s="69"/>
      <c r="J2" s="70"/>
    </row>
    <row r="3" spans="2:21" ht="15.75" thickBot="1">
      <c r="B3" s="65" t="s">
        <v>114</v>
      </c>
      <c r="C3" s="66"/>
      <c r="D3" s="66"/>
      <c r="E3" s="66"/>
      <c r="F3" s="66"/>
      <c r="G3" s="66"/>
      <c r="H3" s="66"/>
      <c r="I3" s="66"/>
      <c r="J3" s="67"/>
    </row>
    <row r="4" spans="2:21">
      <c r="B4" s="80"/>
      <c r="G4" s="81"/>
      <c r="H4" s="81"/>
      <c r="I4" s="82"/>
    </row>
    <row r="5" spans="2:21">
      <c r="B5" s="80"/>
      <c r="F5" s="83"/>
      <c r="G5" s="84" t="s">
        <v>115</v>
      </c>
      <c r="H5" s="85">
        <v>5</v>
      </c>
      <c r="I5" s="86" t="s">
        <v>100</v>
      </c>
    </row>
    <row r="6" spans="2:21">
      <c r="B6" s="80"/>
      <c r="F6" s="83"/>
      <c r="G6" s="84" t="s">
        <v>116</v>
      </c>
      <c r="H6" s="85">
        <v>0.34</v>
      </c>
      <c r="I6" s="86" t="s">
        <v>101</v>
      </c>
    </row>
    <row r="7" spans="2:21" hidden="1">
      <c r="B7" s="80"/>
      <c r="G7" s="81" t="s">
        <v>117</v>
      </c>
      <c r="H7" s="87">
        <v>1.2</v>
      </c>
      <c r="I7" s="82" t="s">
        <v>101</v>
      </c>
    </row>
    <row r="8" spans="2:21">
      <c r="B8" s="80"/>
      <c r="G8" s="81"/>
      <c r="H8" s="87"/>
      <c r="I8" s="82"/>
    </row>
    <row r="9" spans="2:21">
      <c r="G9" s="88" t="s">
        <v>118</v>
      </c>
      <c r="H9" s="85">
        <v>2200</v>
      </c>
      <c r="I9" s="89" t="s">
        <v>119</v>
      </c>
      <c r="S9" s="90"/>
    </row>
    <row r="10" spans="2:21" s="82" customFormat="1">
      <c r="G10" s="81"/>
      <c r="H10" s="87"/>
      <c r="S10" s="91"/>
    </row>
    <row r="11" spans="2:21">
      <c r="G11" s="88" t="s">
        <v>120</v>
      </c>
      <c r="H11" s="85">
        <v>0.4</v>
      </c>
      <c r="I11" s="89" t="s">
        <v>100</v>
      </c>
    </row>
    <row r="12" spans="2:21">
      <c r="G12" s="92"/>
      <c r="H12" s="92"/>
      <c r="I12" s="87"/>
    </row>
    <row r="13" spans="2:21" hidden="1">
      <c r="G13" s="92" t="s">
        <v>121</v>
      </c>
      <c r="H13" s="92">
        <v>0.65</v>
      </c>
      <c r="J13" s="93"/>
      <c r="O13" s="87"/>
      <c r="P13" s="87"/>
      <c r="Q13" s="87"/>
      <c r="R13" s="82"/>
      <c r="S13" s="82"/>
      <c r="T13" s="82"/>
    </row>
    <row r="14" spans="2:21">
      <c r="G14" s="88" t="s">
        <v>122</v>
      </c>
      <c r="H14" s="85">
        <v>65</v>
      </c>
      <c r="I14" s="89" t="s">
        <v>123</v>
      </c>
      <c r="J14" s="94"/>
      <c r="K14" s="90"/>
      <c r="O14" s="95"/>
      <c r="P14" s="95"/>
      <c r="Q14" s="96"/>
      <c r="R14" s="97"/>
      <c r="S14" s="98"/>
      <c r="T14" s="82"/>
    </row>
    <row r="15" spans="2:21" ht="15.75" thickBot="1">
      <c r="G15" s="99"/>
      <c r="H15" s="99"/>
      <c r="I15" s="100"/>
      <c r="P15" s="101"/>
      <c r="Q15" s="102"/>
      <c r="R15" s="82"/>
      <c r="S15" s="82"/>
      <c r="T15" s="82"/>
      <c r="U15" s="82"/>
    </row>
    <row r="16" spans="2:21" ht="15.75" hidden="1" thickBot="1">
      <c r="G16" s="99" t="s">
        <v>124</v>
      </c>
      <c r="H16" s="103">
        <v>7</v>
      </c>
      <c r="I16" s="104" t="s">
        <v>125</v>
      </c>
      <c r="J16" s="105" t="b">
        <v>1</v>
      </c>
      <c r="P16" s="101"/>
      <c r="Q16" s="102"/>
      <c r="R16" s="82"/>
      <c r="S16" s="82"/>
      <c r="T16" s="82"/>
      <c r="U16" s="82"/>
    </row>
    <row r="17" spans="2:11" ht="15.75" hidden="1" thickBot="1">
      <c r="G17" s="92" t="s">
        <v>126</v>
      </c>
      <c r="H17" s="100">
        <v>3</v>
      </c>
      <c r="I17" s="79" t="s">
        <v>125</v>
      </c>
    </row>
    <row r="18" spans="2:11" ht="15.75" thickBot="1">
      <c r="C18" s="106"/>
      <c r="D18" s="106"/>
      <c r="E18" s="107" t="s">
        <v>127</v>
      </c>
    </row>
    <row r="19" spans="2:11" ht="15.75" thickBot="1">
      <c r="B19" s="71" t="s">
        <v>128</v>
      </c>
      <c r="C19" s="72"/>
      <c r="D19" s="73"/>
      <c r="E19" s="108">
        <v>13</v>
      </c>
      <c r="F19" s="109">
        <v>6.5</v>
      </c>
      <c r="G19" s="110">
        <v>9</v>
      </c>
      <c r="H19" s="110">
        <v>13.2</v>
      </c>
      <c r="I19" s="110">
        <v>18</v>
      </c>
      <c r="J19" s="109">
        <v>20</v>
      </c>
    </row>
    <row r="20" spans="2:11">
      <c r="B20" s="74" t="s">
        <v>129</v>
      </c>
      <c r="C20" s="75"/>
      <c r="D20" s="75"/>
      <c r="E20" s="111">
        <f>FswNom*IF(Vinref&gt;19,0.5,1)</f>
        <v>2200</v>
      </c>
      <c r="F20" s="112">
        <f>FswNom*IF(F19&gt;19,0.5,1)</f>
        <v>2200</v>
      </c>
      <c r="G20" s="112">
        <f>FswNom*IF(G19&gt;19,0.5,1)</f>
        <v>2200</v>
      </c>
      <c r="H20" s="112">
        <f>FswNom*IF(H19&gt;19,0.5,1)</f>
        <v>2200</v>
      </c>
      <c r="I20" s="112">
        <f>FswNom*IF(I19&gt;19,0.5,1)</f>
        <v>2200</v>
      </c>
      <c r="J20" s="112">
        <f>FswNom*IF(J19&gt;19,0.5,1)</f>
        <v>1100</v>
      </c>
    </row>
    <row r="21" spans="2:11">
      <c r="B21" s="113"/>
      <c r="C21" s="106"/>
      <c r="D21" s="114"/>
      <c r="E21" s="115"/>
      <c r="F21" s="116"/>
      <c r="G21" s="116"/>
      <c r="H21" s="116"/>
      <c r="I21" s="116"/>
      <c r="J21" s="116"/>
    </row>
    <row r="22" spans="2:11">
      <c r="B22" s="53" t="s">
        <v>12</v>
      </c>
      <c r="C22" s="55"/>
      <c r="D22" s="56"/>
      <c r="E22" s="117">
        <f>(Vout+Vdiode)/(E19+Vdiode-LoadRef*Rdson1p2A)</f>
        <v>0.42789223454833597</v>
      </c>
      <c r="F22" s="118">
        <f>(Vout+Vdiode)/(F19+Vdiode-Iout*Rdson1p2A)</f>
        <v>0.80850426710585421</v>
      </c>
      <c r="G22" s="118">
        <f>(Vout+Vdiode)/(G19+Vdiode-Iout*Rdson1p2A)</f>
        <v>0.58829937901732221</v>
      </c>
      <c r="H22" s="118">
        <f>(Vout+Vdiode)/(H19+Vdiode-Iout*Rdson1p2A)</f>
        <v>0.4036176096868227</v>
      </c>
      <c r="I22" s="118">
        <f>(Vout+Vdiode)/(I19+Vdiode-Iout*Rdson1p2A)</f>
        <v>0.29704604213653119</v>
      </c>
      <c r="J22" s="118">
        <f>(Vout+Vdiode)/(J19+Vdiode-Iout*Rdson1p2A)</f>
        <v>0.26760493582437189</v>
      </c>
    </row>
    <row r="23" spans="2:11" ht="12.75" customHeight="1">
      <c r="B23" s="113"/>
      <c r="C23" s="106"/>
      <c r="D23" s="106"/>
      <c r="E23" s="113"/>
      <c r="F23" s="119"/>
      <c r="G23" s="119"/>
      <c r="H23" s="119"/>
      <c r="I23" s="119"/>
      <c r="J23" s="119"/>
    </row>
    <row r="24" spans="2:11" ht="12.75" hidden="1" customHeight="1">
      <c r="B24" s="120" t="s">
        <v>130</v>
      </c>
      <c r="C24" s="121" t="s">
        <v>131</v>
      </c>
      <c r="D24" s="122" t="s">
        <v>132</v>
      </c>
      <c r="E24" s="115">
        <v>3.1</v>
      </c>
      <c r="F24" s="118">
        <f>t1ref*SQRT(Iout/LoadRef)</f>
        <v>1.6501010070093689</v>
      </c>
      <c r="G24" s="118">
        <f>t1ref*SQRT(Iout/LoadRef)</f>
        <v>1.6501010070093689</v>
      </c>
      <c r="H24" s="118">
        <f>t1ref*SQRT(Iout/LoadRef)</f>
        <v>1.6501010070093689</v>
      </c>
      <c r="I24" s="118">
        <f>t1ref*SQRT(Iout/LoadRef)</f>
        <v>1.6501010070093689</v>
      </c>
      <c r="J24" s="118">
        <f>t1ref*SQRT(Iout/LoadRef)</f>
        <v>1.6501010070093689</v>
      </c>
    </row>
    <row r="25" spans="2:11" hidden="1">
      <c r="B25" s="120" t="s">
        <v>133</v>
      </c>
      <c r="C25" s="121" t="s">
        <v>134</v>
      </c>
      <c r="D25" s="122" t="s">
        <v>135</v>
      </c>
      <c r="E25" s="123">
        <v>1.6</v>
      </c>
      <c r="F25" s="116">
        <f>t2ref</f>
        <v>1.6</v>
      </c>
      <c r="G25" s="116">
        <f>t2ref</f>
        <v>1.6</v>
      </c>
      <c r="H25" s="116">
        <f>t2ref</f>
        <v>1.6</v>
      </c>
      <c r="I25" s="116">
        <f>t2ref</f>
        <v>1.6</v>
      </c>
      <c r="J25" s="116">
        <f>t2ref</f>
        <v>1.6</v>
      </c>
      <c r="K25" s="124"/>
    </row>
    <row r="26" spans="2:11" hidden="1">
      <c r="B26" s="120" t="s">
        <v>136</v>
      </c>
      <c r="C26" s="121" t="s">
        <v>137</v>
      </c>
      <c r="D26" s="122" t="s">
        <v>138</v>
      </c>
      <c r="E26" s="117">
        <v>4.5999999999999996</v>
      </c>
      <c r="F26" s="125">
        <f>t3ref*F$19/Vinref</f>
        <v>2.2999999999999998</v>
      </c>
      <c r="G26" s="125">
        <f>t3ref*G$19/Vinref</f>
        <v>3.1846153846153844</v>
      </c>
      <c r="H26" s="125">
        <f>t3ref*H$19/Vinref</f>
        <v>4.6707692307692303</v>
      </c>
      <c r="I26" s="125">
        <f>t3ref*I$19/Vinref</f>
        <v>6.3692307692307688</v>
      </c>
      <c r="J26" s="125">
        <f>t3ref*J$19/Vinref</f>
        <v>7.0769230769230766</v>
      </c>
      <c r="K26" s="124"/>
    </row>
    <row r="27" spans="2:11" hidden="1">
      <c r="B27" s="120" t="s">
        <v>139</v>
      </c>
      <c r="C27" s="121" t="s">
        <v>140</v>
      </c>
      <c r="D27" s="122" t="s">
        <v>141</v>
      </c>
      <c r="E27" s="115">
        <v>12.5</v>
      </c>
      <c r="F27" s="116">
        <f>t4ref</f>
        <v>12.5</v>
      </c>
      <c r="G27" s="116">
        <f>t4ref</f>
        <v>12.5</v>
      </c>
      <c r="H27" s="116">
        <f>t4ref</f>
        <v>12.5</v>
      </c>
      <c r="I27" s="116">
        <f>t4ref</f>
        <v>12.5</v>
      </c>
      <c r="J27" s="116">
        <f>t4ref</f>
        <v>12.5</v>
      </c>
    </row>
    <row r="28" spans="2:11" hidden="1">
      <c r="B28" s="113"/>
      <c r="C28" s="106"/>
      <c r="D28" s="106"/>
      <c r="E28" s="113"/>
      <c r="F28" s="119"/>
      <c r="G28" s="119"/>
      <c r="H28" s="119"/>
      <c r="I28" s="119"/>
      <c r="J28" s="119"/>
    </row>
    <row r="29" spans="2:11" hidden="1">
      <c r="B29" s="113"/>
      <c r="C29" s="106"/>
      <c r="D29" s="126" t="s">
        <v>142</v>
      </c>
      <c r="E29" s="127">
        <f>1000*FswMax*t1ref/1000000000*(Vinref+0.5)*LoadRef/2</f>
        <v>5.5241999999999999E-2</v>
      </c>
      <c r="F29" s="128">
        <f>1000*F20*F24/1000000000*(F$19+0.5)*Iout/2</f>
        <v>4.3199644363505285E-3</v>
      </c>
      <c r="G29" s="128">
        <f>1000*G20*G24/1000000000*(G$19+0.5)*Iout/2</f>
        <v>5.8628088779042881E-3</v>
      </c>
      <c r="H29" s="128">
        <f>1000*H20*H24/1000000000*(H$19+0.5)*Iout/2</f>
        <v>8.4547875397146047E-3</v>
      </c>
      <c r="I29" s="128">
        <f>1000*I20*I24/1000000000*(I$19+0.5)*Iout/2</f>
        <v>1.1417048867497826E-2</v>
      </c>
      <c r="J29" s="128">
        <f>1000*J20*J24/1000000000*(J$19+0.5)*Iout/2</f>
        <v>6.3256622103704165E-3</v>
      </c>
    </row>
    <row r="30" spans="2:11" hidden="1">
      <c r="B30" s="113"/>
      <c r="C30" s="106"/>
      <c r="D30" s="126" t="s">
        <v>143</v>
      </c>
      <c r="E30" s="127">
        <f>1000*FswMax*t2ref/1000000000*(Vinref-1)*(LoadRef+0.4/2)</f>
        <v>5.9135999999999994E-2</v>
      </c>
      <c r="F30" s="128">
        <f>1000*F20*F25/1000000000*(F$19-1)*(Iout+0.4/2)</f>
        <v>1.0454400000000003E-2</v>
      </c>
      <c r="G30" s="128">
        <f>1000*G20*G25/1000000000*(G$19-1)*(Iout+0.4/2)</f>
        <v>1.5206400000000002E-2</v>
      </c>
      <c r="H30" s="128">
        <f>1000*H20*H25/1000000000*(H$19-1)*(Iout+0.4/2)</f>
        <v>2.318976E-2</v>
      </c>
      <c r="I30" s="128">
        <f>1000*I20*I25/1000000000*(I$19-1)*(Iout+0.4/2)</f>
        <v>3.2313600000000005E-2</v>
      </c>
      <c r="J30" s="128">
        <f>1000*J20*J25/1000000000*(J$19-1)*(Iout+0.4/2)</f>
        <v>1.8057600000000004E-2</v>
      </c>
    </row>
    <row r="31" spans="2:11" hidden="1">
      <c r="B31" s="113"/>
      <c r="C31" s="106"/>
      <c r="D31" s="126" t="s">
        <v>144</v>
      </c>
      <c r="E31" s="127">
        <f>1000*FswMax*t3ref/1000000000*((Vinref-1)*(LoadRef+(0.4))+(-(Vinref-2)*(LoadRef+(0.4))-0.4*(Vinref-1))/2+0.4*(Vinref-2)/3)</f>
        <v>9.5802666666666689E-2</v>
      </c>
      <c r="F31" s="128">
        <f>1000*F20*F26/1000000000*((F$19-1)*(Iout+0.4)+(-(F$19-2)*(Iout+0.4)-0.4*(F$19-1))/2+0.4*(F$19-2)/3)</f>
        <v>9.6393000000000017E-3</v>
      </c>
      <c r="G31" s="128">
        <f>1000*G20*G26/1000000000*((G$19-1)*(Iout+0.4)+(-(G$19-2)*(Iout+0.4)-0.4*(G$19-1))/2+0.4*(G$19-2)/3)</f>
        <v>1.8659723076923082E-2</v>
      </c>
      <c r="H31" s="128">
        <f>1000*H20*H26/1000000000*((H$19-1)*(Iout+0.4)+(-(H$19-2)*(Iout+0.4)-0.4*(H$19-1))/2+0.4*(H$19-2)/3)</f>
        <v>4.0458825846153831E-2</v>
      </c>
      <c r="I31" s="128">
        <f>1000*I20*I26/1000000000*((I$19-1)*(Iout+0.4)+(-(I$19-2)*(Iout+0.4)-0.4*(I$19-1))/2+0.4*(I$19-2)/3)</f>
        <v>7.5573046153846149E-2</v>
      </c>
      <c r="J31" s="128">
        <f>1000*J20*J26/1000000000*((J$19-1)*(Iout+0.4)+(-(J$19-2)*(Iout+0.4)-0.4*(J$19-1))/2+0.4*(J$19-2)/3)</f>
        <v>4.6707692307692304E-2</v>
      </c>
    </row>
    <row r="32" spans="2:11" hidden="1">
      <c r="B32" s="113"/>
      <c r="C32" s="106"/>
      <c r="D32" s="126" t="s">
        <v>145</v>
      </c>
      <c r="E32" s="127">
        <f>1000*FswMax*t4ref/1000000000*0.5*LoadRef</f>
        <v>1.6500000000000001E-2</v>
      </c>
      <c r="F32" s="128">
        <f>1000*F20*F27/1000000000*0.5*Iout</f>
        <v>4.6750000000000003E-3</v>
      </c>
      <c r="G32" s="128">
        <f>1000*G20*G27/1000000000*0.5*Iout</f>
        <v>4.6750000000000003E-3</v>
      </c>
      <c r="H32" s="128">
        <f>1000*H20*H27/1000000000*0.5*Iout</f>
        <v>4.6750000000000003E-3</v>
      </c>
      <c r="I32" s="128">
        <f>1000*I20*I27/1000000000*0.5*Iout</f>
        <v>4.6750000000000003E-3</v>
      </c>
      <c r="J32" s="128">
        <f>1000*J20*J27/1000000000*0.5*Iout</f>
        <v>2.3375000000000002E-3</v>
      </c>
    </row>
    <row r="33" spans="2:11">
      <c r="B33" s="53" t="s">
        <v>146</v>
      </c>
      <c r="C33" s="55"/>
      <c r="D33" s="56"/>
      <c r="E33" s="127">
        <f t="shared" ref="E33:J33" si="0">SUM(E29:E32)</f>
        <v>0.2266806666666667</v>
      </c>
      <c r="F33" s="128">
        <f t="shared" si="0"/>
        <v>2.9088664436350532E-2</v>
      </c>
      <c r="G33" s="128">
        <f t="shared" si="0"/>
        <v>4.4403931954827371E-2</v>
      </c>
      <c r="H33" s="128">
        <f t="shared" si="0"/>
        <v>7.6778373385868431E-2</v>
      </c>
      <c r="I33" s="128">
        <f t="shared" si="0"/>
        <v>0.12397869502134398</v>
      </c>
      <c r="J33" s="128">
        <f t="shared" si="0"/>
        <v>7.3428454518062722E-2</v>
      </c>
    </row>
    <row r="34" spans="2:11">
      <c r="B34" s="53" t="s">
        <v>147</v>
      </c>
      <c r="C34" s="55"/>
      <c r="D34" s="56"/>
      <c r="E34" s="127">
        <f>(Vout+Vdiode)/(Vinref+Vdiode-LoadRef*Rdson1p2A)*LoadRef^2*Rdson1p2A</f>
        <v>0.40050713153724243</v>
      </c>
      <c r="F34" s="128">
        <f>(Vout+Vdiode)/(F19+Vdiode-Iout*Rdson1p2A)*Iout^2*Rdson1p2A</f>
        <v>6.0751010630333897E-2</v>
      </c>
      <c r="G34" s="128">
        <f>(Vout+Vdiode)/(G19+Vdiode-Iout*Rdson1p2A)*Iout^2*Rdson1p2A</f>
        <v>4.4204815339361603E-2</v>
      </c>
      <c r="H34" s="128">
        <f>(Vout+Vdiode)/(H19+Vdiode-Iout*Rdson1p2A)*Iout^2*Rdson1p2A</f>
        <v>3.0327827191867864E-2</v>
      </c>
      <c r="I34" s="128">
        <f>(Vout+Vdiode)/(I19+Vdiode-Iout*Rdson1p2A)*Iout^2*Rdson1p2A</f>
        <v>2.2320039606138958E-2</v>
      </c>
      <c r="J34" s="128">
        <f>(Vout+Vdiode)/(J19+Vdiode-Iout*Rdson1p2A)*Iout^2*Rdson1p2A</f>
        <v>2.010783487784331E-2</v>
      </c>
    </row>
    <row r="35" spans="2:11">
      <c r="B35" s="53" t="s">
        <v>148</v>
      </c>
      <c r="C35" s="55"/>
      <c r="D35" s="56"/>
      <c r="E35" s="127">
        <f t="shared" ref="E35:J35" si="1">E33+E34</f>
        <v>0.62718779820390913</v>
      </c>
      <c r="F35" s="128">
        <f t="shared" si="1"/>
        <v>8.983967506668443E-2</v>
      </c>
      <c r="G35" s="128">
        <f t="shared" si="1"/>
        <v>8.8608747294188966E-2</v>
      </c>
      <c r="H35" s="128">
        <f t="shared" si="1"/>
        <v>0.10710620057773629</v>
      </c>
      <c r="I35" s="128">
        <f t="shared" si="1"/>
        <v>0.14629873462748294</v>
      </c>
      <c r="J35" s="128">
        <f t="shared" si="1"/>
        <v>9.3536289395906025E-2</v>
      </c>
    </row>
    <row r="36" spans="2:11">
      <c r="B36" s="113"/>
      <c r="C36" s="106"/>
      <c r="D36" s="106"/>
      <c r="E36" s="115"/>
      <c r="F36" s="116"/>
      <c r="G36" s="116"/>
      <c r="H36" s="116"/>
      <c r="I36" s="116"/>
      <c r="J36" s="116"/>
    </row>
    <row r="37" spans="2:11">
      <c r="B37" s="53" t="s">
        <v>149</v>
      </c>
      <c r="C37" s="55"/>
      <c r="D37" s="56"/>
      <c r="E37" s="127">
        <f>0.001*LDOLoad*(Vinref-3.3)*FswMax/2000</f>
        <v>7.4689999999999993E-2</v>
      </c>
      <c r="F37" s="128">
        <f>0.001*UseLDO*LDOLoad*(F19-3.3)*F20/2000</f>
        <v>2.4640000000000006E-2</v>
      </c>
      <c r="G37" s="128">
        <f>0.001*UseLDO*LDOLoad*(G19-3.3)*G20/2000</f>
        <v>4.3890000000000005E-2</v>
      </c>
      <c r="H37" s="128">
        <f>0.001*UseLDO*LDOLoad*(H19-3.3)*H20/2000</f>
        <v>7.6229999999999992E-2</v>
      </c>
      <c r="I37" s="128">
        <f>0.001*UseLDO*LDOLoad*(I19-3.3)*I20/2000</f>
        <v>0.11319</v>
      </c>
      <c r="J37" s="128">
        <f>0.001*UseLDO*LDOLoad*(J19-3.3)*J20/2000</f>
        <v>6.4295000000000005E-2</v>
      </c>
    </row>
    <row r="38" spans="2:11">
      <c r="B38" s="113"/>
      <c r="C38" s="106"/>
      <c r="D38" s="106"/>
      <c r="E38" s="115"/>
      <c r="F38" s="116"/>
      <c r="G38" s="116"/>
      <c r="H38" s="116"/>
      <c r="I38" s="116"/>
      <c r="J38" s="116"/>
    </row>
    <row r="39" spans="2:11">
      <c r="B39" s="53" t="s">
        <v>150</v>
      </c>
      <c r="C39" s="55"/>
      <c r="D39" s="56"/>
      <c r="E39" s="127">
        <f>0.001*Iq*Vinref</f>
        <v>3.9E-2</v>
      </c>
      <c r="F39" s="128">
        <f>0.001*Iq*F19</f>
        <v>1.95E-2</v>
      </c>
      <c r="G39" s="128">
        <f>0.001*Iq*G19</f>
        <v>2.7E-2</v>
      </c>
      <c r="H39" s="128">
        <f>0.001*Iq*H19</f>
        <v>3.9599999999999996E-2</v>
      </c>
      <c r="I39" s="128">
        <f>0.001*Iq*I19</f>
        <v>5.3999999999999999E-2</v>
      </c>
      <c r="J39" s="128">
        <f>0.001*Iq*J19</f>
        <v>0.06</v>
      </c>
    </row>
    <row r="40" spans="2:11">
      <c r="B40" s="113"/>
      <c r="C40" s="106"/>
      <c r="D40" s="106"/>
      <c r="E40" s="115"/>
      <c r="F40" s="116"/>
      <c r="G40" s="116"/>
      <c r="H40" s="116"/>
      <c r="I40" s="116"/>
      <c r="J40" s="116"/>
    </row>
    <row r="41" spans="2:11">
      <c r="B41" s="53" t="s">
        <v>151</v>
      </c>
      <c r="C41" s="55"/>
      <c r="D41" s="56"/>
      <c r="E41" s="127">
        <f t="shared" ref="E41:J41" si="2">E35+E37+E39</f>
        <v>0.7408777982039092</v>
      </c>
      <c r="F41" s="128">
        <f t="shared" si="2"/>
        <v>0.13397967506668443</v>
      </c>
      <c r="G41" s="128">
        <f t="shared" si="2"/>
        <v>0.15949874729418898</v>
      </c>
      <c r="H41" s="128">
        <f t="shared" si="2"/>
        <v>0.22293620057773628</v>
      </c>
      <c r="I41" s="128">
        <f t="shared" si="2"/>
        <v>0.31348873462748295</v>
      </c>
      <c r="J41" s="128">
        <f t="shared" si="2"/>
        <v>0.21783128939590601</v>
      </c>
    </row>
    <row r="42" spans="2:11">
      <c r="B42" s="113"/>
      <c r="C42" s="106"/>
      <c r="D42" s="106"/>
      <c r="E42" s="113"/>
      <c r="F42" s="119"/>
      <c r="G42" s="119"/>
      <c r="H42" s="119"/>
      <c r="I42" s="119"/>
      <c r="J42" s="119"/>
    </row>
    <row r="43" spans="2:11" ht="15.75" thickBot="1">
      <c r="B43" s="57" t="s">
        <v>152</v>
      </c>
      <c r="C43" s="58"/>
      <c r="D43" s="59"/>
      <c r="E43" s="129">
        <f t="shared" ref="E43:J43" si="3">E41*Rthetaja</f>
        <v>48.1570568832541</v>
      </c>
      <c r="F43" s="130">
        <f t="shared" si="3"/>
        <v>8.7086788793344887</v>
      </c>
      <c r="G43" s="130">
        <f t="shared" si="3"/>
        <v>10.367418574122283</v>
      </c>
      <c r="H43" s="130">
        <f t="shared" si="3"/>
        <v>14.490853037552858</v>
      </c>
      <c r="I43" s="130">
        <f t="shared" si="3"/>
        <v>20.376767750786392</v>
      </c>
      <c r="J43" s="130">
        <f t="shared" si="3"/>
        <v>14.159033810733892</v>
      </c>
    </row>
    <row r="44" spans="2:11" ht="23.25" customHeight="1" thickBot="1">
      <c r="B44" s="60" t="s">
        <v>153</v>
      </c>
      <c r="C44" s="61"/>
      <c r="D44" s="62"/>
      <c r="E44" s="137">
        <f t="shared" ref="E44:J44" si="4">150-E43</f>
        <v>101.8429431167459</v>
      </c>
      <c r="F44" s="138">
        <f t="shared" si="4"/>
        <v>141.29132112066551</v>
      </c>
      <c r="G44" s="138">
        <f t="shared" si="4"/>
        <v>139.63258142587773</v>
      </c>
      <c r="H44" s="138">
        <f t="shared" si="4"/>
        <v>135.50914696244715</v>
      </c>
      <c r="I44" s="138">
        <f t="shared" si="4"/>
        <v>129.6232322492136</v>
      </c>
      <c r="J44" s="138">
        <f t="shared" si="4"/>
        <v>135.84096618926611</v>
      </c>
    </row>
    <row r="45" spans="2:11">
      <c r="B45" s="131"/>
      <c r="C45" s="132"/>
      <c r="D45" s="132"/>
      <c r="E45" s="133"/>
      <c r="F45" s="134"/>
      <c r="G45" s="133"/>
      <c r="H45" s="134"/>
      <c r="I45" s="134"/>
      <c r="J45" s="134"/>
    </row>
    <row r="46" spans="2:11" ht="15.75" thickBot="1">
      <c r="B46" s="63" t="s">
        <v>154</v>
      </c>
      <c r="C46" s="64"/>
      <c r="D46" s="64"/>
      <c r="E46" s="135">
        <f>(1-(Vout+Vdiode)/(Vinref+Vdiode-LoadRef*Rdson1p2A))*LoadRef*Vdiode</f>
        <v>0.27461172741679868</v>
      </c>
      <c r="F46" s="136">
        <f>(1-(Vout+Vdiode)/(F19+Vdiode-Iout*Rdson1p2A))*Iout*Vdiode</f>
        <v>2.6043419673603831E-2</v>
      </c>
      <c r="G46" s="135">
        <f>(1-(Vout+Vdiode)/(G19+Vdiode-Iout*Rdson1p2A))*Iout*Vdiode</f>
        <v>5.5991284453644187E-2</v>
      </c>
      <c r="H46" s="136">
        <f>(1-(Vout+Vdiode)/(H19+Vdiode-Iout*Rdson1p2A))*Iout*Vdiode</f>
        <v>8.1108005082592124E-2</v>
      </c>
      <c r="I46" s="136">
        <f>(1-(Vout+Vdiode)/(I19+Vdiode-Iout*Rdson1p2A))*Iout*Vdiode</f>
        <v>9.5601738269431774E-2</v>
      </c>
      <c r="J46" s="136">
        <f>(1-(Vout+Vdiode)/(J19+Vdiode-Iout*Rdson1p2A))*Iout*Vdiode</f>
        <v>9.9605728727885423E-2</v>
      </c>
      <c r="K46" s="124"/>
    </row>
    <row r="49" spans="2:10" ht="129.75" customHeight="1">
      <c r="B49" s="54" t="s">
        <v>155</v>
      </c>
      <c r="C49" s="54"/>
      <c r="D49" s="54"/>
      <c r="E49" s="54"/>
      <c r="F49" s="54"/>
      <c r="G49" s="54"/>
      <c r="H49" s="54"/>
      <c r="I49" s="54"/>
      <c r="J49" s="54"/>
    </row>
  </sheetData>
  <sheetProtection password="F725" sheet="1" objects="1" scenarios="1" selectLockedCells="1"/>
  <mergeCells count="15">
    <mergeCell ref="B44:D44"/>
    <mergeCell ref="B46:D46"/>
    <mergeCell ref="B49:J49"/>
    <mergeCell ref="B34:D34"/>
    <mergeCell ref="B35:D35"/>
    <mergeCell ref="B37:D37"/>
    <mergeCell ref="B39:D39"/>
    <mergeCell ref="B41:D41"/>
    <mergeCell ref="B43:D43"/>
    <mergeCell ref="B2:J2"/>
    <mergeCell ref="B3:J3"/>
    <mergeCell ref="B19:D19"/>
    <mergeCell ref="B20:D20"/>
    <mergeCell ref="B22:D22"/>
    <mergeCell ref="B33:D3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 moveWithCells="1">
                  <from>
                    <xdr:col>1</xdr:col>
                    <xdr:colOff>266700</xdr:colOff>
                    <xdr:row>35</xdr:row>
                    <xdr:rowOff>133350</xdr:rowOff>
                  </from>
                  <to>
                    <xdr:col>1</xdr:col>
                    <xdr:colOff>571500</xdr:colOff>
                    <xdr:row>37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C5" sqref="C5"/>
    </sheetView>
  </sheetViews>
  <sheetFormatPr defaultRowHeight="15"/>
  <cols>
    <col min="1" max="2" width="9.140625" style="78"/>
    <col min="3" max="3" width="8.140625" style="78" customWidth="1"/>
    <col min="4" max="4" width="16" style="78" customWidth="1"/>
    <col min="5" max="5" width="18.85546875" style="78" customWidth="1"/>
    <col min="6" max="6" width="10.140625" style="78" customWidth="1"/>
    <col min="7" max="16384" width="9.140625" style="78"/>
  </cols>
  <sheetData>
    <row r="1" spans="1:8" ht="15.75" thickBot="1">
      <c r="B1" s="157" t="s">
        <v>163</v>
      </c>
      <c r="C1" s="156"/>
      <c r="D1" s="156"/>
      <c r="E1" s="156"/>
      <c r="F1" s="155"/>
      <c r="H1" s="154" t="s">
        <v>162</v>
      </c>
    </row>
    <row r="2" spans="1:8">
      <c r="B2" s="151"/>
      <c r="C2" s="151"/>
      <c r="D2" s="151"/>
      <c r="E2" s="151"/>
      <c r="F2" s="151"/>
    </row>
    <row r="3" spans="1:8">
      <c r="A3" s="153" t="s">
        <v>161</v>
      </c>
      <c r="B3" s="151"/>
      <c r="C3" s="151"/>
      <c r="D3" s="151"/>
      <c r="E3" s="152" t="str">
        <f>"                                                                                   - the regulator starts folding back its switching frequency (Vin min @ 2 MHz)"</f>
        <v xml:space="preserve">                                                                                   - the regulator starts folding back its switching frequency (Vin min @ 2 MHz)</v>
      </c>
    </row>
    <row r="4" spans="1:8">
      <c r="E4" s="151" t="str">
        <f xml:space="preserve"> "                                      - the regulator loses regulation (Vin min (loss of reg) )"</f>
        <v xml:space="preserve">                                      - the regulator loses regulation (Vin min (loss of reg) )</v>
      </c>
    </row>
    <row r="5" spans="1:8">
      <c r="B5" s="150" t="s">
        <v>160</v>
      </c>
      <c r="C5" s="149">
        <v>3.3</v>
      </c>
    </row>
    <row r="6" spans="1:8" ht="15.75" thickBot="1"/>
    <row r="7" spans="1:8" ht="15.75" thickBot="1">
      <c r="C7" s="148" t="s">
        <v>159</v>
      </c>
      <c r="D7" s="147" t="s">
        <v>158</v>
      </c>
      <c r="E7" s="146" t="s">
        <v>157</v>
      </c>
    </row>
    <row r="8" spans="1:8">
      <c r="C8" s="145">
        <v>0.1</v>
      </c>
      <c r="D8" s="144">
        <f>0.55*$C8+(1/0.9)*$C$5</f>
        <v>3.7216666666666667</v>
      </c>
      <c r="E8" s="143">
        <f>0.55*$C8+(1/0.965)*$C$5</f>
        <v>3.4746891191709848</v>
      </c>
    </row>
    <row r="9" spans="1:8">
      <c r="C9" s="142">
        <v>0.2</v>
      </c>
      <c r="D9" s="141">
        <f>0.55*$C9+(1/0.9)*$C$5</f>
        <v>3.7766666666666664</v>
      </c>
      <c r="E9" s="140">
        <f>0.55*$C9+(1/0.965)*$C$5</f>
        <v>3.5296891191709845</v>
      </c>
    </row>
    <row r="10" spans="1:8">
      <c r="C10" s="142">
        <v>0.5</v>
      </c>
      <c r="D10" s="141">
        <f>0.55*$C10+(1/0.9)*$C$5</f>
        <v>3.9416666666666664</v>
      </c>
      <c r="E10" s="140">
        <f>0.55*$C10+(1/0.965)*$C$5</f>
        <v>3.6946891191709845</v>
      </c>
    </row>
    <row r="11" spans="1:8">
      <c r="C11" s="142">
        <v>0.8</v>
      </c>
      <c r="D11" s="141">
        <f>0.55*$C11+(1/0.9)*$C$5</f>
        <v>4.1066666666666665</v>
      </c>
      <c r="E11" s="140">
        <f>0.55*$C11+(1/0.965)*$C$5</f>
        <v>3.8596891191709846</v>
      </c>
    </row>
    <row r="12" spans="1:8">
      <c r="C12" s="142">
        <v>1</v>
      </c>
      <c r="D12" s="141">
        <f>0.55*$C12+(1/0.9)*$C$5</f>
        <v>4.2166666666666668</v>
      </c>
      <c r="E12" s="140">
        <f>0.55*$C12+(1/0.965)*$C$5</f>
        <v>3.9696891191709849</v>
      </c>
    </row>
    <row r="13" spans="1:8">
      <c r="C13" s="142">
        <v>1.2</v>
      </c>
      <c r="D13" s="141">
        <f>0.55*$C13+(1/0.9)*$C$5</f>
        <v>4.3266666666666662</v>
      </c>
      <c r="E13" s="140">
        <f>0.55*$C13+(1/0.965)*$C$5</f>
        <v>4.0796891191709843</v>
      </c>
    </row>
    <row r="14" spans="1:8">
      <c r="C14" s="142">
        <v>1.5</v>
      </c>
      <c r="D14" s="141">
        <f>0.55*$C14+(1/0.9)*$C$5</f>
        <v>4.4916666666666663</v>
      </c>
      <c r="E14" s="140">
        <f>0.55*$C14+(1/0.965)*$C$5</f>
        <v>4.2446891191709843</v>
      </c>
    </row>
    <row r="15" spans="1:8">
      <c r="C15" s="142">
        <v>1.8</v>
      </c>
      <c r="D15" s="141">
        <f>0.55*$C15+(1/0.9)*$C$5</f>
        <v>4.6566666666666663</v>
      </c>
      <c r="E15" s="140">
        <f>0.55*$C15+(1/0.965)*$C$5</f>
        <v>4.4096891191709844</v>
      </c>
    </row>
    <row r="16" spans="1:8" ht="15.75" thickBot="1">
      <c r="C16" s="139">
        <v>2</v>
      </c>
      <c r="D16" s="77">
        <f>0.55*$C16+(1/0.9)*$C$5</f>
        <v>4.7666666666666666</v>
      </c>
      <c r="E16" s="76">
        <f>0.55*$C16+(1/0.965)*$C$5</f>
        <v>4.5196891191709847</v>
      </c>
    </row>
    <row r="17" spans="2:2">
      <c r="B17" s="78" t="s">
        <v>156</v>
      </c>
    </row>
  </sheetData>
  <sheetProtection password="F725" sheet="1" objects="1" scenarios="1" selectLockedCells="1"/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Design tool</vt:lpstr>
      <vt:lpstr>Typ Max load Thermal results</vt:lpstr>
      <vt:lpstr>Minimum input voltage</vt:lpstr>
      <vt:lpstr>Cesr</vt:lpstr>
      <vt:lpstr>com_c1</vt:lpstr>
      <vt:lpstr>comp_C1</vt:lpstr>
      <vt:lpstr>comp_C2</vt:lpstr>
      <vt:lpstr>comp_R2</vt:lpstr>
      <vt:lpstr>Cout</vt:lpstr>
      <vt:lpstr>D</vt:lpstr>
      <vt:lpstr>D_</vt:lpstr>
      <vt:lpstr>Dmax</vt:lpstr>
      <vt:lpstr>Enter_Values</vt:lpstr>
      <vt:lpstr>Fsw</vt:lpstr>
      <vt:lpstr>FswMax</vt:lpstr>
      <vt:lpstr>FswNom</vt:lpstr>
      <vt:lpstr>gm</vt:lpstr>
      <vt:lpstr>Iout</vt:lpstr>
      <vt:lpstr>Iq</vt:lpstr>
      <vt:lpstr>L</vt:lpstr>
      <vt:lpstr>LDOLoad</vt:lpstr>
      <vt:lpstr>LoadRef</vt:lpstr>
      <vt:lpstr>mc</vt:lpstr>
      <vt:lpstr>OutCur</vt:lpstr>
      <vt:lpstr>R0</vt:lpstr>
      <vt:lpstr>Rdson1p2A</vt:lpstr>
      <vt:lpstr>Rout</vt:lpstr>
      <vt:lpstr>Rout_</vt:lpstr>
      <vt:lpstr>Rthetaja</vt:lpstr>
      <vt:lpstr>sssss</vt:lpstr>
      <vt:lpstr>SWscaling</vt:lpstr>
      <vt:lpstr>SWscaling3</vt:lpstr>
      <vt:lpstr>t1ref</vt:lpstr>
      <vt:lpstr>t2ref</vt:lpstr>
      <vt:lpstr>t3ref</vt:lpstr>
      <vt:lpstr>t4ref</vt:lpstr>
      <vt:lpstr>Tsw_</vt:lpstr>
      <vt:lpstr>UseLDO</vt:lpstr>
      <vt:lpstr>Vdiode</vt:lpstr>
      <vt:lpstr>Vinref</vt:lpstr>
      <vt:lpstr>Vout</vt:lpstr>
      <vt:lpstr>Vout_</vt:lpstr>
      <vt:lpstr>wp1e</vt:lpstr>
      <vt:lpstr>wp2e</vt:lpstr>
      <vt:lpstr>wz2e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Bochuan Liu</dc:creator>
  <cp:lastModifiedBy>Bochuan Liu</cp:lastModifiedBy>
  <dcterms:created xsi:type="dcterms:W3CDTF">2014-08-04T21:40:23Z</dcterms:created>
  <dcterms:modified xsi:type="dcterms:W3CDTF">2014-11-21T16:11:53Z</dcterms:modified>
</cp:coreProperties>
</file>